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2.xml" ContentType="application/vnd.openxmlformats-officedocument.drawing+xml"/>
  <Override PartName="/xl/worksheets/sheet32.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660" windowWidth="15285" windowHeight="3660" tabRatio="869" activeTab="0"/>
  </bookViews>
  <sheets>
    <sheet name="Cover" sheetId="1" r:id="rId1"/>
    <sheet name="Index" sheetId="2" r:id="rId2"/>
    <sheet name="Section 1 start" sheetId="3" r:id="rId3"/>
    <sheet name="Input" sheetId="4" r:id="rId4"/>
    <sheet name="IQI calculation" sheetId="5" r:id="rId5"/>
    <sheet name="Allowed revenue" sheetId="6" r:id="rId6"/>
    <sheet name="Pension Allowances" sheetId="7" r:id="rId7"/>
    <sheet name="Output checks" sheetId="8" r:id="rId8"/>
    <sheet name="Section 2 start" sheetId="9" r:id="rId9"/>
    <sheet name="East" sheetId="10" r:id="rId10"/>
    <sheet name="London" sheetId="11" r:id="rId11"/>
    <sheet name="North West" sheetId="12" r:id="rId12"/>
    <sheet name="West Midlands" sheetId="13" r:id="rId13"/>
    <sheet name="Northern" sheetId="14" r:id="rId14"/>
    <sheet name="Scotland" sheetId="15" r:id="rId15"/>
    <sheet name="Southern" sheetId="16" r:id="rId16"/>
    <sheet name="Wales &amp; West" sheetId="17" r:id="rId17"/>
    <sheet name="RPI factors" sheetId="18" r:id="rId18"/>
    <sheet name="Section 3 start" sheetId="19" r:id="rId19"/>
    <sheet name="P&amp;L" sheetId="20" r:id="rId20"/>
    <sheet name="P&amp;L (Nominal)" sheetId="21" r:id="rId21"/>
    <sheet name="Tax" sheetId="22" r:id="rId22"/>
    <sheet name="Tax (nominal)" sheetId="23" r:id="rId23"/>
    <sheet name="Balance Sheet (nominal)" sheetId="24" r:id="rId24"/>
    <sheet name="Cash Flow (nominal)" sheetId="25" r:id="rId25"/>
    <sheet name="Section 4 start" sheetId="26" r:id="rId26"/>
    <sheet name="RealRAV" sheetId="27" r:id="rId27"/>
    <sheet name="NominalRAV" sheetId="28" r:id="rId28"/>
    <sheet name="Section 5 start" sheetId="29" r:id="rId29"/>
    <sheet name="GDN data output sheet" sheetId="30" r:id="rId30"/>
    <sheet name="Breakdown by DN" sheetId="31" r:id="rId31"/>
    <sheet name="Breakdown output all DNs" sheetId="32" r:id="rId32"/>
    <sheet name="Flying boxes (avg X)" sheetId="33" r:id="rId33"/>
  </sheets>
  <externalReferences>
    <externalReference r:id="rId36"/>
  </externalReferences>
  <definedNames>
    <definedName name="aaaaaaaagh" hidden="1">{#N/A,#N/A,TRUE,"Reg_Outputs";#N/A,#N/A,TRUE,"Transco_Outputs";#N/A,#N/A,TRUE,"Transco_plc";#N/A,#N/A,TRUE,"Group_Outputs";#N/A,#N/A,TRUE,"Transco_Group"}</definedName>
    <definedName name="anscount" hidden="1">1</definedName>
    <definedName name="AverageRAV" localSheetId="27">'NominalRAV'!$D$17:$L$17</definedName>
    <definedName name="ClosingRAV" localSheetId="27">'NominalRAV'!$D$15:$L$15</definedName>
    <definedName name="NBVcf" localSheetId="22">'Tax (nominal)'!#REF!</definedName>
    <definedName name="PLCorpTax" localSheetId="22">'Tax (nominal)'!$E$20:$M$20</definedName>
    <definedName name="PLDefTax_GAAP" localSheetId="22">'Tax (nominal)'!#REF!</definedName>
    <definedName name="PLDefTax_IFRS" localSheetId="22">'Tax (nominal)'!#REF!</definedName>
    <definedName name="_xlnm.Print_Area" localSheetId="23">'Balance Sheet (nominal)'!$A$1:$BE$66</definedName>
    <definedName name="_xlnm.Print_Area" localSheetId="24">'Cash Flow (nominal)'!$A$1:$L$49</definedName>
    <definedName name="_xlnm.Print_Area" localSheetId="29">'GDN data output sheet'!$C$1:$J$35</definedName>
    <definedName name="_xlnm.Print_Area" localSheetId="3">'Input'!$A$1:$L$47</definedName>
    <definedName name="_xlnm.Print_Area" localSheetId="19">'P&amp;L'!$A$1:$G$24</definedName>
    <definedName name="_xlnm.Print_Area" localSheetId="21">'Tax'!$A$6:$L$23</definedName>
    <definedName name="_xlnm.Print_Area" localSheetId="22">'Tax (nominal)'!$A$6:$L$20</definedName>
    <definedName name="_xlnm.Print_Titles" localSheetId="3">'Input'!$1:$5</definedName>
    <definedName name="_xlnm.Print_Titles" localSheetId="27">'NominalRAV'!$1:$5</definedName>
    <definedName name="_xlnm.Print_Titles" localSheetId="7">'Output checks'!$1:$5</definedName>
    <definedName name="_xlnm.Print_Titles" localSheetId="19">'P&amp;L'!$1:$5</definedName>
    <definedName name="_xlnm.Print_Titles" localSheetId="26">'RealRAV'!$1:$5</definedName>
    <definedName name="_xlnm.Print_Titles" localSheetId="21">'Tax'!$1:$5</definedName>
    <definedName name="_xlnm.Print_Titles" localSheetId="22">'Tax (nominal)'!$1:$5</definedName>
    <definedName name="RealLabel">'[1]Input'!$E$21</definedName>
    <definedName name="RPI00to05">'RPI factors'!$E$31</definedName>
    <definedName name="RPI2000">'RPI factors'!$31:$31</definedName>
    <definedName name="RPI2000allnom">'RPI factors'!$32:$32</definedName>
    <definedName name="RPI2000RAV">'RPI factors'!$35:$35</definedName>
    <definedName name="RPI2000RAVclose">'RPI factors'!$36:$36</definedName>
    <definedName name="RPI2005">'RPI factors'!$E$31</definedName>
    <definedName name="RPI2005RAV">'RPI factors'!$37:$37</definedName>
    <definedName name="RPI2005RAVclose">'RPI factors'!$38:$38</definedName>
    <definedName name="RPIRAVindex">'RPI factors'!$34:$34</definedName>
    <definedName name="RPIRAVindexclose">'RPI factors'!$34:$34</definedName>
    <definedName name="StartDate">'Input'!$D$48</definedName>
    <definedName name="TaxCreditor" localSheetId="22">'Tax (nominal)'!#REF!</definedName>
    <definedName name="TaxWarning">'[1]Input'!$E$20</definedName>
    <definedName name="VWACC">'[1]PostTaxRev'!$E$10:$AP$10</definedName>
    <definedName name="wrn.Transco._.Reports._.Pack." localSheetId="23" hidden="1">{#N/A,#N/A,TRUE,"Reg_Outputs";#N/A,#N/A,TRUE,"Transco_Outputs";#N/A,#N/A,TRUE,"Transco_plc";#N/A,#N/A,TRUE,"Group_Outputs";#N/A,#N/A,TRUE,"Transco_Group"}</definedName>
    <definedName name="wrn.Transco._.Reports._.Pack." localSheetId="9" hidden="1">{#N/A,#N/A,TRUE,"Reg_Outputs";#N/A,#N/A,TRUE,"Transco_Outputs";#N/A,#N/A,TRUE,"Transco_plc";#N/A,#N/A,TRUE,"Group_Outputs";#N/A,#N/A,TRUE,"Transco_Group"}</definedName>
    <definedName name="wrn.Transco._.Reports._.Pack." localSheetId="10" hidden="1">{#N/A,#N/A,TRUE,"Reg_Outputs";#N/A,#N/A,TRUE,"Transco_Outputs";#N/A,#N/A,TRUE,"Transco_plc";#N/A,#N/A,TRUE,"Group_Outputs";#N/A,#N/A,TRUE,"Transco_Group"}</definedName>
    <definedName name="wrn.Transco._.Reports._.Pack." localSheetId="27" hidden="1">{#N/A,#N/A,TRUE,"Reg_Outputs";#N/A,#N/A,TRUE,"Transco_Outputs";#N/A,#N/A,TRUE,"Transco_plc";#N/A,#N/A,TRUE,"Group_Outputs";#N/A,#N/A,TRUE,"Transco_Group"}</definedName>
    <definedName name="wrn.Transco._.Reports._.Pack." localSheetId="11" hidden="1">{#N/A,#N/A,TRUE,"Reg_Outputs";#N/A,#N/A,TRUE,"Transco_Outputs";#N/A,#N/A,TRUE,"Transco_plc";#N/A,#N/A,TRUE,"Group_Outputs";#N/A,#N/A,TRUE,"Transco_Group"}</definedName>
    <definedName name="wrn.Transco._.Reports._.Pack." localSheetId="13" hidden="1">{#N/A,#N/A,TRUE,"Reg_Outputs";#N/A,#N/A,TRUE,"Transco_Outputs";#N/A,#N/A,TRUE,"Transco_plc";#N/A,#N/A,TRUE,"Group_Outputs";#N/A,#N/A,TRUE,"Transco_Group"}</definedName>
    <definedName name="wrn.Transco._.Reports._.Pack." localSheetId="15" hidden="1">{#N/A,#N/A,TRUE,"Reg_Outputs";#N/A,#N/A,TRUE,"Transco_Outputs";#N/A,#N/A,TRUE,"Transco_plc";#N/A,#N/A,TRUE,"Group_Outputs";#N/A,#N/A,TRUE,"Transco_Group"}</definedName>
    <definedName name="wrn.Transco._.Reports._.Pack." localSheetId="22" hidden="1">{#N/A,#N/A,TRUE,"Reg_Outputs";#N/A,#N/A,TRUE,"Transco_Outputs";#N/A,#N/A,TRUE,"Transco_plc";#N/A,#N/A,TRUE,"Group_Outputs";#N/A,#N/A,TRUE,"Transco_Group"}</definedName>
    <definedName name="wrn.Transco._.Reports._.Pack." localSheetId="16" hidden="1">{#N/A,#N/A,TRUE,"Reg_Outputs";#N/A,#N/A,TRUE,"Transco_Outputs";#N/A,#N/A,TRUE,"Transco_plc";#N/A,#N/A,TRUE,"Group_Outputs";#N/A,#N/A,TRUE,"Transco_Group"}</definedName>
    <definedName name="wrn.Transco._.Reports._.Pack." localSheetId="12" hidden="1">{#N/A,#N/A,TRUE,"Reg_Outputs";#N/A,#N/A,TRUE,"Transco_Outputs";#N/A,#N/A,TRUE,"Transco_plc";#N/A,#N/A,TRUE,"Group_Outputs";#N/A,#N/A,TRUE,"Transco_Group"}</definedName>
    <definedName name="wrn.Transco._.Reports._.Pack." hidden="1">{#N/A,#N/A,TRUE,"Reg_Outputs";#N/A,#N/A,TRUE,"Transco_Outputs";#N/A,#N/A,TRUE,"Transco_plc";#N/A,#N/A,TRUE,"Group_Outputs";#N/A,#N/A,TRUE,"Transco_Group"}</definedName>
    <definedName name="XFactor">'[1]Input'!$E$22:$AP$22</definedName>
  </definedNames>
  <calcPr fullCalcOnLoad="1"/>
</workbook>
</file>

<file path=xl/comments10.xml><?xml version="1.0" encoding="utf-8"?>
<comments xmlns="http://schemas.openxmlformats.org/spreadsheetml/2006/main">
  <authors>
    <author>HG</author>
  </authors>
  <commentList>
    <comment ref="H46" authorId="0">
      <text>
        <r>
          <rPr>
            <b/>
            <sz val="8"/>
            <rFont val="Tahoma"/>
            <family val="0"/>
          </rPr>
          <t>HG:</t>
        </r>
        <r>
          <rPr>
            <sz val="8"/>
            <rFont val="Tahoma"/>
            <family val="0"/>
          </rPr>
          <t xml:space="preserve">
FROM BPQ - UNADJUSTED</t>
        </r>
      </text>
    </comment>
    <comment ref="I46" authorId="0">
      <text>
        <r>
          <rPr>
            <b/>
            <sz val="8"/>
            <rFont val="Tahoma"/>
            <family val="0"/>
          </rPr>
          <t>HG:</t>
        </r>
        <r>
          <rPr>
            <sz val="8"/>
            <rFont val="Tahoma"/>
            <family val="0"/>
          </rPr>
          <t xml:space="preserve">
FROM BPQ - UNADJUSTED</t>
        </r>
      </text>
    </comment>
    <comment ref="J46" authorId="0">
      <text>
        <r>
          <rPr>
            <b/>
            <sz val="8"/>
            <rFont val="Tahoma"/>
            <family val="0"/>
          </rPr>
          <t>HG:</t>
        </r>
        <r>
          <rPr>
            <sz val="8"/>
            <rFont val="Tahoma"/>
            <family val="0"/>
          </rPr>
          <t xml:space="preserve">
FROM BPQ - UNADJUSTED</t>
        </r>
      </text>
    </comment>
    <comment ref="K46" authorId="0">
      <text>
        <r>
          <rPr>
            <b/>
            <sz val="8"/>
            <rFont val="Tahoma"/>
            <family val="0"/>
          </rPr>
          <t>HG:</t>
        </r>
        <r>
          <rPr>
            <sz val="8"/>
            <rFont val="Tahoma"/>
            <family val="0"/>
          </rPr>
          <t xml:space="preserve">
FROM BPQ - UNADJUSTED</t>
        </r>
      </text>
    </comment>
    <comment ref="L46" authorId="0">
      <text>
        <r>
          <rPr>
            <b/>
            <sz val="8"/>
            <rFont val="Tahoma"/>
            <family val="0"/>
          </rPr>
          <t>HG:</t>
        </r>
        <r>
          <rPr>
            <sz val="8"/>
            <rFont val="Tahoma"/>
            <family val="0"/>
          </rPr>
          <t xml:space="preserve">
FROM BPQ - UNADJUSTED</t>
        </r>
      </text>
    </comment>
    <comment ref="G108" authorId="0">
      <text>
        <r>
          <rPr>
            <b/>
            <sz val="8"/>
            <rFont val="Tahoma"/>
            <family val="0"/>
          </rPr>
          <t>HG:</t>
        </r>
        <r>
          <rPr>
            <sz val="8"/>
            <rFont val="Tahoma"/>
            <family val="0"/>
          </rPr>
          <t xml:space="preserve">
Corrected - NGGD511</t>
        </r>
      </text>
    </comment>
    <comment ref="G125" authorId="0">
      <text>
        <r>
          <rPr>
            <b/>
            <sz val="8"/>
            <rFont val="Tahoma"/>
            <family val="0"/>
          </rPr>
          <t>HG:</t>
        </r>
        <r>
          <rPr>
            <sz val="8"/>
            <rFont val="Tahoma"/>
            <family val="0"/>
          </rPr>
          <t xml:space="preserve">
Assume the signs were wrong in BPQ</t>
        </r>
      </text>
    </comment>
  </commentList>
</comments>
</file>

<file path=xl/comments11.xml><?xml version="1.0" encoding="utf-8"?>
<comments xmlns="http://schemas.openxmlformats.org/spreadsheetml/2006/main">
  <authors>
    <author>HG</author>
  </authors>
  <commentList>
    <comment ref="H46" authorId="0">
      <text>
        <r>
          <rPr>
            <b/>
            <sz val="8"/>
            <rFont val="Tahoma"/>
            <family val="0"/>
          </rPr>
          <t>HG:</t>
        </r>
        <r>
          <rPr>
            <sz val="8"/>
            <rFont val="Tahoma"/>
            <family val="0"/>
          </rPr>
          <t xml:space="preserve">
FROM BPQ - UNADJUSTED</t>
        </r>
      </text>
    </comment>
    <comment ref="I46" authorId="0">
      <text>
        <r>
          <rPr>
            <b/>
            <sz val="8"/>
            <rFont val="Tahoma"/>
            <family val="0"/>
          </rPr>
          <t>HG:</t>
        </r>
        <r>
          <rPr>
            <sz val="8"/>
            <rFont val="Tahoma"/>
            <family val="0"/>
          </rPr>
          <t xml:space="preserve">
FROM BPQ - UNADJUSTED</t>
        </r>
      </text>
    </comment>
    <comment ref="J46" authorId="0">
      <text>
        <r>
          <rPr>
            <b/>
            <sz val="8"/>
            <rFont val="Tahoma"/>
            <family val="0"/>
          </rPr>
          <t>HG:</t>
        </r>
        <r>
          <rPr>
            <sz val="8"/>
            <rFont val="Tahoma"/>
            <family val="0"/>
          </rPr>
          <t xml:space="preserve">
FROM BPQ - UNADJUSTED</t>
        </r>
      </text>
    </comment>
    <comment ref="K46" authorId="0">
      <text>
        <r>
          <rPr>
            <b/>
            <sz val="8"/>
            <rFont val="Tahoma"/>
            <family val="0"/>
          </rPr>
          <t>HG:</t>
        </r>
        <r>
          <rPr>
            <sz val="8"/>
            <rFont val="Tahoma"/>
            <family val="0"/>
          </rPr>
          <t xml:space="preserve">
FROM BPQ - UNADJUSTED</t>
        </r>
      </text>
    </comment>
    <comment ref="L46" authorId="0">
      <text>
        <r>
          <rPr>
            <b/>
            <sz val="8"/>
            <rFont val="Tahoma"/>
            <family val="0"/>
          </rPr>
          <t>HG:</t>
        </r>
        <r>
          <rPr>
            <sz val="8"/>
            <rFont val="Tahoma"/>
            <family val="0"/>
          </rPr>
          <t xml:space="preserve">
FROM BPQ - UNADJUSTED</t>
        </r>
      </text>
    </comment>
    <comment ref="G108" authorId="0">
      <text>
        <r>
          <rPr>
            <b/>
            <sz val="8"/>
            <rFont val="Tahoma"/>
            <family val="0"/>
          </rPr>
          <t>HG:</t>
        </r>
        <r>
          <rPr>
            <sz val="8"/>
            <rFont val="Tahoma"/>
            <family val="0"/>
          </rPr>
          <t xml:space="preserve">
Corrected - NGGD511</t>
        </r>
      </text>
    </comment>
  </commentList>
</comments>
</file>

<file path=xl/comments12.xml><?xml version="1.0" encoding="utf-8"?>
<comments xmlns="http://schemas.openxmlformats.org/spreadsheetml/2006/main">
  <authors>
    <author>HG</author>
  </authors>
  <commentList>
    <comment ref="H46" authorId="0">
      <text>
        <r>
          <rPr>
            <b/>
            <sz val="8"/>
            <rFont val="Tahoma"/>
            <family val="0"/>
          </rPr>
          <t>HG:</t>
        </r>
        <r>
          <rPr>
            <sz val="8"/>
            <rFont val="Tahoma"/>
            <family val="0"/>
          </rPr>
          <t xml:space="preserve">
FROM BPQ - UNADJUSTED</t>
        </r>
      </text>
    </comment>
    <comment ref="I46" authorId="0">
      <text>
        <r>
          <rPr>
            <b/>
            <sz val="8"/>
            <rFont val="Tahoma"/>
            <family val="0"/>
          </rPr>
          <t>HG:</t>
        </r>
        <r>
          <rPr>
            <sz val="8"/>
            <rFont val="Tahoma"/>
            <family val="0"/>
          </rPr>
          <t xml:space="preserve">
FROM BPQ - UNADJUSTED</t>
        </r>
      </text>
    </comment>
    <comment ref="J46" authorId="0">
      <text>
        <r>
          <rPr>
            <b/>
            <sz val="8"/>
            <rFont val="Tahoma"/>
            <family val="0"/>
          </rPr>
          <t>HG:</t>
        </r>
        <r>
          <rPr>
            <sz val="8"/>
            <rFont val="Tahoma"/>
            <family val="0"/>
          </rPr>
          <t xml:space="preserve">
FROM BPQ - UNADJUSTED</t>
        </r>
      </text>
    </comment>
    <comment ref="K46" authorId="0">
      <text>
        <r>
          <rPr>
            <b/>
            <sz val="8"/>
            <rFont val="Tahoma"/>
            <family val="0"/>
          </rPr>
          <t>HG:</t>
        </r>
        <r>
          <rPr>
            <sz val="8"/>
            <rFont val="Tahoma"/>
            <family val="0"/>
          </rPr>
          <t xml:space="preserve">
FROM BPQ - UNADJUSTED</t>
        </r>
      </text>
    </comment>
    <comment ref="L46" authorId="0">
      <text>
        <r>
          <rPr>
            <b/>
            <sz val="8"/>
            <rFont val="Tahoma"/>
            <family val="0"/>
          </rPr>
          <t>HG:</t>
        </r>
        <r>
          <rPr>
            <sz val="8"/>
            <rFont val="Tahoma"/>
            <family val="0"/>
          </rPr>
          <t xml:space="preserve">
FROM BPQ - UNADJUSTED</t>
        </r>
      </text>
    </comment>
    <comment ref="G108" authorId="0">
      <text>
        <r>
          <rPr>
            <b/>
            <sz val="8"/>
            <rFont val="Tahoma"/>
            <family val="0"/>
          </rPr>
          <t>HG:</t>
        </r>
        <r>
          <rPr>
            <sz val="8"/>
            <rFont val="Tahoma"/>
            <family val="0"/>
          </rPr>
          <t xml:space="preserve">
Corrected - NGGD511</t>
        </r>
      </text>
    </comment>
  </commentList>
</comments>
</file>

<file path=xl/comments13.xml><?xml version="1.0" encoding="utf-8"?>
<comments xmlns="http://schemas.openxmlformats.org/spreadsheetml/2006/main">
  <authors>
    <author>HG</author>
  </authors>
  <commentList>
    <comment ref="H46" authorId="0">
      <text>
        <r>
          <rPr>
            <b/>
            <sz val="8"/>
            <rFont val="Tahoma"/>
            <family val="0"/>
          </rPr>
          <t>HG:</t>
        </r>
        <r>
          <rPr>
            <sz val="8"/>
            <rFont val="Tahoma"/>
            <family val="0"/>
          </rPr>
          <t xml:space="preserve">
FROM BPQ - UNADJUSTED</t>
        </r>
      </text>
    </comment>
    <comment ref="I46" authorId="0">
      <text>
        <r>
          <rPr>
            <b/>
            <sz val="8"/>
            <rFont val="Tahoma"/>
            <family val="0"/>
          </rPr>
          <t>HG:</t>
        </r>
        <r>
          <rPr>
            <sz val="8"/>
            <rFont val="Tahoma"/>
            <family val="0"/>
          </rPr>
          <t xml:space="preserve">
FROM BPQ - UNADJUSTED</t>
        </r>
      </text>
    </comment>
    <comment ref="J46" authorId="0">
      <text>
        <r>
          <rPr>
            <b/>
            <sz val="8"/>
            <rFont val="Tahoma"/>
            <family val="0"/>
          </rPr>
          <t>HG:</t>
        </r>
        <r>
          <rPr>
            <sz val="8"/>
            <rFont val="Tahoma"/>
            <family val="0"/>
          </rPr>
          <t xml:space="preserve">
FROM BPQ - UNADJUSTED</t>
        </r>
      </text>
    </comment>
    <comment ref="K46" authorId="0">
      <text>
        <r>
          <rPr>
            <b/>
            <sz val="8"/>
            <rFont val="Tahoma"/>
            <family val="0"/>
          </rPr>
          <t>HG:</t>
        </r>
        <r>
          <rPr>
            <sz val="8"/>
            <rFont val="Tahoma"/>
            <family val="0"/>
          </rPr>
          <t xml:space="preserve">
FROM BPQ - UNADJUSTED</t>
        </r>
      </text>
    </comment>
    <comment ref="L46" authorId="0">
      <text>
        <r>
          <rPr>
            <b/>
            <sz val="8"/>
            <rFont val="Tahoma"/>
            <family val="0"/>
          </rPr>
          <t>HG:</t>
        </r>
        <r>
          <rPr>
            <sz val="8"/>
            <rFont val="Tahoma"/>
            <family val="0"/>
          </rPr>
          <t xml:space="preserve">
FROM BPQ - UNADJUSTED</t>
        </r>
      </text>
    </comment>
    <comment ref="G108" authorId="0">
      <text>
        <r>
          <rPr>
            <b/>
            <sz val="8"/>
            <rFont val="Tahoma"/>
            <family val="0"/>
          </rPr>
          <t>HG:</t>
        </r>
        <r>
          <rPr>
            <sz val="8"/>
            <rFont val="Tahoma"/>
            <family val="0"/>
          </rPr>
          <t xml:space="preserve">
Corrected - NGGD511</t>
        </r>
      </text>
    </comment>
  </commentList>
</comments>
</file>

<file path=xl/comments14.xml><?xml version="1.0" encoding="utf-8"?>
<comments xmlns="http://schemas.openxmlformats.org/spreadsheetml/2006/main">
  <authors>
    <author>HG</author>
  </authors>
  <commentList>
    <comment ref="H46" authorId="0">
      <text>
        <r>
          <rPr>
            <b/>
            <sz val="8"/>
            <rFont val="Tahoma"/>
            <family val="0"/>
          </rPr>
          <t>HG:</t>
        </r>
        <r>
          <rPr>
            <sz val="8"/>
            <rFont val="Tahoma"/>
            <family val="0"/>
          </rPr>
          <t xml:space="preserve">
FROM BPQ - UNADJUSTED</t>
        </r>
      </text>
    </comment>
    <comment ref="I46" authorId="0">
      <text>
        <r>
          <rPr>
            <b/>
            <sz val="8"/>
            <rFont val="Tahoma"/>
            <family val="0"/>
          </rPr>
          <t>HG:</t>
        </r>
        <r>
          <rPr>
            <sz val="8"/>
            <rFont val="Tahoma"/>
            <family val="0"/>
          </rPr>
          <t xml:space="preserve">
FROM BPQ - UNADJUSTED</t>
        </r>
      </text>
    </comment>
    <comment ref="J46" authorId="0">
      <text>
        <r>
          <rPr>
            <b/>
            <sz val="8"/>
            <rFont val="Tahoma"/>
            <family val="0"/>
          </rPr>
          <t>HG:</t>
        </r>
        <r>
          <rPr>
            <sz val="8"/>
            <rFont val="Tahoma"/>
            <family val="0"/>
          </rPr>
          <t xml:space="preserve">
FROM BPQ - UNADJUSTED</t>
        </r>
      </text>
    </comment>
    <comment ref="K46" authorId="0">
      <text>
        <r>
          <rPr>
            <b/>
            <sz val="8"/>
            <rFont val="Tahoma"/>
            <family val="0"/>
          </rPr>
          <t>HG:</t>
        </r>
        <r>
          <rPr>
            <sz val="8"/>
            <rFont val="Tahoma"/>
            <family val="0"/>
          </rPr>
          <t xml:space="preserve">
FROM BPQ - UNADJUSTED</t>
        </r>
      </text>
    </comment>
    <comment ref="L46" authorId="0">
      <text>
        <r>
          <rPr>
            <b/>
            <sz val="8"/>
            <rFont val="Tahoma"/>
            <family val="0"/>
          </rPr>
          <t>HG:</t>
        </r>
        <r>
          <rPr>
            <sz val="8"/>
            <rFont val="Tahoma"/>
            <family val="0"/>
          </rPr>
          <t xml:space="preserve">
FROM BPQ - UNADJUSTED</t>
        </r>
      </text>
    </comment>
    <comment ref="G116" authorId="0">
      <text>
        <r>
          <rPr>
            <b/>
            <sz val="8"/>
            <rFont val="Tahoma"/>
            <family val="0"/>
          </rPr>
          <t>HG:</t>
        </r>
        <r>
          <rPr>
            <sz val="8"/>
            <rFont val="Tahoma"/>
            <family val="0"/>
          </rPr>
          <t xml:space="preserve">
05/06 adjusted re NGN508</t>
        </r>
      </text>
    </comment>
  </commentList>
</comments>
</file>

<file path=xl/comments15.xml><?xml version="1.0" encoding="utf-8"?>
<comments xmlns="http://schemas.openxmlformats.org/spreadsheetml/2006/main">
  <authors>
    <author>knottg</author>
    <author>HG</author>
  </authors>
  <commentList>
    <comment ref="F60" authorId="0">
      <text>
        <r>
          <rPr>
            <b/>
            <sz val="8"/>
            <rFont val="Tahoma"/>
            <family val="0"/>
          </rPr>
          <t>knottg:</t>
        </r>
        <r>
          <rPr>
            <sz val="8"/>
            <rFont val="Tahoma"/>
            <family val="0"/>
          </rPr>
          <t xml:space="preserve">
Linked to a sheet with two numbers for 05/06 so the formula "leaps" a cell</t>
        </r>
      </text>
    </comment>
    <comment ref="G60" authorId="0">
      <text>
        <r>
          <rPr>
            <b/>
            <sz val="8"/>
            <rFont val="Tahoma"/>
            <family val="0"/>
          </rPr>
          <t>knottg:</t>
        </r>
        <r>
          <rPr>
            <sz val="8"/>
            <rFont val="Tahoma"/>
            <family val="0"/>
          </rPr>
          <t xml:space="preserve">
Linked to a sheet with two numbers for 05/06 so the formula "leaps" a cell</t>
        </r>
      </text>
    </comment>
    <comment ref="E14" authorId="0">
      <text>
        <r>
          <rPr>
            <b/>
            <sz val="8"/>
            <rFont val="Tahoma"/>
            <family val="0"/>
          </rPr>
          <t>knottg:</t>
        </r>
        <r>
          <rPr>
            <sz val="8"/>
            <rFont val="Tahoma"/>
            <family val="0"/>
          </rPr>
          <t xml:space="preserve">
Includes 6.3m for Bathgate which was allowed erroneously in the NTS control</t>
        </r>
      </text>
    </comment>
    <comment ref="H46" authorId="1">
      <text>
        <r>
          <rPr>
            <b/>
            <sz val="8"/>
            <rFont val="Tahoma"/>
            <family val="0"/>
          </rPr>
          <t>HG:</t>
        </r>
        <r>
          <rPr>
            <sz val="8"/>
            <rFont val="Tahoma"/>
            <family val="0"/>
          </rPr>
          <t xml:space="preserve">
FROM BPQ - UNADJUSTED</t>
        </r>
      </text>
    </comment>
    <comment ref="I46" authorId="1">
      <text>
        <r>
          <rPr>
            <b/>
            <sz val="8"/>
            <rFont val="Tahoma"/>
            <family val="0"/>
          </rPr>
          <t>HG:</t>
        </r>
        <r>
          <rPr>
            <sz val="8"/>
            <rFont val="Tahoma"/>
            <family val="0"/>
          </rPr>
          <t xml:space="preserve">
FROM BPQ - UNADJUSTED</t>
        </r>
      </text>
    </comment>
    <comment ref="J46" authorId="1">
      <text>
        <r>
          <rPr>
            <b/>
            <sz val="8"/>
            <rFont val="Tahoma"/>
            <family val="0"/>
          </rPr>
          <t>HG:</t>
        </r>
        <r>
          <rPr>
            <sz val="8"/>
            <rFont val="Tahoma"/>
            <family val="0"/>
          </rPr>
          <t xml:space="preserve">
FROM BPQ - UNADJUSTED</t>
        </r>
      </text>
    </comment>
    <comment ref="K46" authorId="1">
      <text>
        <r>
          <rPr>
            <b/>
            <sz val="8"/>
            <rFont val="Tahoma"/>
            <family val="0"/>
          </rPr>
          <t>HG:</t>
        </r>
        <r>
          <rPr>
            <sz val="8"/>
            <rFont val="Tahoma"/>
            <family val="0"/>
          </rPr>
          <t xml:space="preserve">
FROM BPQ - UNADJUSTED</t>
        </r>
      </text>
    </comment>
    <comment ref="L46" authorId="1">
      <text>
        <r>
          <rPr>
            <b/>
            <sz val="8"/>
            <rFont val="Tahoma"/>
            <family val="0"/>
          </rPr>
          <t>HG:</t>
        </r>
        <r>
          <rPr>
            <sz val="8"/>
            <rFont val="Tahoma"/>
            <family val="0"/>
          </rPr>
          <t xml:space="preserve">
FROM BPQ - UNADJUSTED</t>
        </r>
      </text>
    </comment>
    <comment ref="G108" authorId="1">
      <text>
        <r>
          <rPr>
            <b/>
            <sz val="8"/>
            <rFont val="Tahoma"/>
            <family val="0"/>
          </rPr>
          <t>HG:</t>
        </r>
        <r>
          <rPr>
            <sz val="8"/>
            <rFont val="Tahoma"/>
            <family val="0"/>
          </rPr>
          <t xml:space="preserve">
updated - SGN508</t>
        </r>
      </text>
    </comment>
    <comment ref="G115" authorId="1">
      <text>
        <r>
          <rPr>
            <b/>
            <sz val="8"/>
            <rFont val="Tahoma"/>
            <family val="0"/>
          </rPr>
          <t>HG:</t>
        </r>
        <r>
          <rPr>
            <sz val="8"/>
            <rFont val="Tahoma"/>
            <family val="0"/>
          </rPr>
          <t xml:space="preserve">
updated - SGN508</t>
        </r>
      </text>
    </comment>
    <comment ref="G126" authorId="1">
      <text>
        <r>
          <rPr>
            <b/>
            <sz val="8"/>
            <rFont val="Tahoma"/>
            <family val="0"/>
          </rPr>
          <t>HG:</t>
        </r>
        <r>
          <rPr>
            <sz val="8"/>
            <rFont val="Tahoma"/>
            <family val="0"/>
          </rPr>
          <t xml:space="preserve">
updated - SGN505</t>
        </r>
      </text>
    </comment>
  </commentList>
</comments>
</file>

<file path=xl/comments16.xml><?xml version="1.0" encoding="utf-8"?>
<comments xmlns="http://schemas.openxmlformats.org/spreadsheetml/2006/main">
  <authors>
    <author>HG</author>
  </authors>
  <commentList>
    <comment ref="H46" authorId="0">
      <text>
        <r>
          <rPr>
            <b/>
            <sz val="8"/>
            <rFont val="Tahoma"/>
            <family val="0"/>
          </rPr>
          <t>HG:</t>
        </r>
        <r>
          <rPr>
            <sz val="8"/>
            <rFont val="Tahoma"/>
            <family val="0"/>
          </rPr>
          <t xml:space="preserve">
FROM BPQ - UNADJUSTED</t>
        </r>
      </text>
    </comment>
    <comment ref="I46" authorId="0">
      <text>
        <r>
          <rPr>
            <b/>
            <sz val="8"/>
            <rFont val="Tahoma"/>
            <family val="0"/>
          </rPr>
          <t>HG:</t>
        </r>
        <r>
          <rPr>
            <sz val="8"/>
            <rFont val="Tahoma"/>
            <family val="0"/>
          </rPr>
          <t xml:space="preserve">
FROM BPQ - UNADJUSTED</t>
        </r>
      </text>
    </comment>
    <comment ref="J46" authorId="0">
      <text>
        <r>
          <rPr>
            <b/>
            <sz val="8"/>
            <rFont val="Tahoma"/>
            <family val="0"/>
          </rPr>
          <t>HG:</t>
        </r>
        <r>
          <rPr>
            <sz val="8"/>
            <rFont val="Tahoma"/>
            <family val="0"/>
          </rPr>
          <t xml:space="preserve">
FROM BPQ - UNADJUSTED</t>
        </r>
      </text>
    </comment>
    <comment ref="K46" authorId="0">
      <text>
        <r>
          <rPr>
            <b/>
            <sz val="8"/>
            <rFont val="Tahoma"/>
            <family val="0"/>
          </rPr>
          <t>HG:</t>
        </r>
        <r>
          <rPr>
            <sz val="8"/>
            <rFont val="Tahoma"/>
            <family val="0"/>
          </rPr>
          <t xml:space="preserve">
FROM BPQ - UNADJUSTED</t>
        </r>
      </text>
    </comment>
    <comment ref="L46" authorId="0">
      <text>
        <r>
          <rPr>
            <b/>
            <sz val="8"/>
            <rFont val="Tahoma"/>
            <family val="0"/>
          </rPr>
          <t>HG:</t>
        </r>
        <r>
          <rPr>
            <sz val="8"/>
            <rFont val="Tahoma"/>
            <family val="0"/>
          </rPr>
          <t xml:space="preserve">
FROM BPQ - UNADJUSTED</t>
        </r>
      </text>
    </comment>
    <comment ref="G108" authorId="0">
      <text>
        <r>
          <rPr>
            <b/>
            <sz val="8"/>
            <rFont val="Tahoma"/>
            <family val="0"/>
          </rPr>
          <t>HG:</t>
        </r>
        <r>
          <rPr>
            <sz val="8"/>
            <rFont val="Tahoma"/>
            <family val="0"/>
          </rPr>
          <t xml:space="preserve">
updated - SGN508</t>
        </r>
      </text>
    </comment>
    <comment ref="G115" authorId="0">
      <text>
        <r>
          <rPr>
            <b/>
            <sz val="8"/>
            <rFont val="Tahoma"/>
            <family val="0"/>
          </rPr>
          <t>HG:</t>
        </r>
        <r>
          <rPr>
            <sz val="8"/>
            <rFont val="Tahoma"/>
            <family val="0"/>
          </rPr>
          <t xml:space="preserve">
updated - SGN508</t>
        </r>
      </text>
    </comment>
  </commentList>
</comments>
</file>

<file path=xl/comments17.xml><?xml version="1.0" encoding="utf-8"?>
<comments xmlns="http://schemas.openxmlformats.org/spreadsheetml/2006/main">
  <authors>
    <author>HG</author>
  </authors>
  <commentList>
    <comment ref="H46" authorId="0">
      <text>
        <r>
          <rPr>
            <b/>
            <sz val="8"/>
            <rFont val="Tahoma"/>
            <family val="0"/>
          </rPr>
          <t>HG:</t>
        </r>
        <r>
          <rPr>
            <sz val="8"/>
            <rFont val="Tahoma"/>
            <family val="0"/>
          </rPr>
          <t xml:space="preserve">
FROM BPQ - UNADJUSTED</t>
        </r>
      </text>
    </comment>
    <comment ref="I46" authorId="0">
      <text>
        <r>
          <rPr>
            <b/>
            <sz val="8"/>
            <rFont val="Tahoma"/>
            <family val="0"/>
          </rPr>
          <t>HG:</t>
        </r>
        <r>
          <rPr>
            <sz val="8"/>
            <rFont val="Tahoma"/>
            <family val="0"/>
          </rPr>
          <t xml:space="preserve">
FROM BPQ - UNADJUSTED</t>
        </r>
      </text>
    </comment>
    <comment ref="J46" authorId="0">
      <text>
        <r>
          <rPr>
            <b/>
            <sz val="8"/>
            <rFont val="Tahoma"/>
            <family val="0"/>
          </rPr>
          <t>HG:</t>
        </r>
        <r>
          <rPr>
            <sz val="8"/>
            <rFont val="Tahoma"/>
            <family val="0"/>
          </rPr>
          <t xml:space="preserve">
FROM BPQ - UNADJUSTED</t>
        </r>
      </text>
    </comment>
    <comment ref="K46" authorId="0">
      <text>
        <r>
          <rPr>
            <b/>
            <sz val="8"/>
            <rFont val="Tahoma"/>
            <family val="0"/>
          </rPr>
          <t>HG:</t>
        </r>
        <r>
          <rPr>
            <sz val="8"/>
            <rFont val="Tahoma"/>
            <family val="0"/>
          </rPr>
          <t xml:space="preserve">
FROM BPQ - UNADJUSTED</t>
        </r>
      </text>
    </comment>
    <comment ref="L46" authorId="0">
      <text>
        <r>
          <rPr>
            <b/>
            <sz val="8"/>
            <rFont val="Tahoma"/>
            <family val="0"/>
          </rPr>
          <t>HG:</t>
        </r>
        <r>
          <rPr>
            <sz val="8"/>
            <rFont val="Tahoma"/>
            <family val="0"/>
          </rPr>
          <t xml:space="preserve">
FROM BPQ - UNADJUSTED</t>
        </r>
      </text>
    </comment>
    <comment ref="G116" authorId="0">
      <text>
        <r>
          <rPr>
            <b/>
            <sz val="8"/>
            <rFont val="Tahoma"/>
            <family val="0"/>
          </rPr>
          <t>HG:</t>
        </r>
        <r>
          <rPr>
            <sz val="8"/>
            <rFont val="Tahoma"/>
            <family val="0"/>
          </rPr>
          <t xml:space="preserve">
NB excluded intra-group interest and excluded corporation tax creditors
assumed 05/06 equal to 06/07 where details provided
based on response to supplementary question WWU510</t>
        </r>
      </text>
    </comment>
  </commentList>
</comments>
</file>

<file path=xl/comments22.xml><?xml version="1.0" encoding="utf-8"?>
<comments xmlns="http://schemas.openxmlformats.org/spreadsheetml/2006/main">
  <authors>
    <author>HG</author>
  </authors>
  <commentList>
    <comment ref="C44" authorId="0">
      <text>
        <r>
          <rPr>
            <b/>
            <sz val="8"/>
            <rFont val="Tahoma"/>
            <family val="0"/>
          </rPr>
          <t>HG:</t>
        </r>
        <r>
          <rPr>
            <sz val="8"/>
            <rFont val="Tahoma"/>
            <family val="0"/>
          </rPr>
          <t xml:space="preserve">
The value in row 41 includes the additional tax allowance that the company will receive as a result of the additional under recovery allowance. This allowance is calculated separately (row 31 above). Row 44 calculates the correct input into the tax allowance calculation</t>
        </r>
      </text>
    </comment>
  </commentList>
</comments>
</file>

<file path=xl/comments6.xml><?xml version="1.0" encoding="utf-8"?>
<comments xmlns="http://schemas.openxmlformats.org/spreadsheetml/2006/main">
  <authors>
    <author>knottg</author>
    <author>Heather Glass</author>
  </authors>
  <commentList>
    <comment ref="C28" authorId="0">
      <text>
        <r>
          <rPr>
            <b/>
            <sz val="8"/>
            <rFont val="Tahoma"/>
            <family val="0"/>
          </rPr>
          <t>knottg:</t>
        </r>
        <r>
          <rPr>
            <sz val="8"/>
            <rFont val="Tahoma"/>
            <family val="0"/>
          </rPr>
          <t xml:space="preserve">
Equals return on RAV + RAV additions less capital allowances less interest plus cash repex less total repex adjusted for other differences between PCTCT and regulatory income. 
</t>
        </r>
      </text>
    </comment>
    <comment ref="G25" authorId="1">
      <text>
        <r>
          <rPr>
            <b/>
            <sz val="8"/>
            <rFont val="Tahoma"/>
            <family val="0"/>
          </rPr>
          <t>Heather Glass:</t>
        </r>
        <r>
          <rPr>
            <sz val="8"/>
            <rFont val="Tahoma"/>
            <family val="0"/>
          </rPr>
          <t xml:space="preserve">
Numbers linked to 1YC final proposals model to keep 0708 allowances fixed</t>
        </r>
      </text>
    </comment>
    <comment ref="G28" authorId="1">
      <text>
        <r>
          <rPr>
            <b/>
            <sz val="8"/>
            <rFont val="Tahoma"/>
            <family val="0"/>
          </rPr>
          <t>Heather Glass:</t>
        </r>
        <r>
          <rPr>
            <sz val="8"/>
            <rFont val="Tahoma"/>
            <family val="0"/>
          </rPr>
          <t xml:space="preserve">
Numbers linked to 1YC final proposals model to keep 0708 allowances fixed</t>
        </r>
      </text>
    </comment>
    <comment ref="G36" authorId="1">
      <text>
        <r>
          <rPr>
            <b/>
            <sz val="8"/>
            <rFont val="Tahoma"/>
            <family val="0"/>
          </rPr>
          <t>Heather Glass:</t>
        </r>
        <r>
          <rPr>
            <sz val="8"/>
            <rFont val="Tahoma"/>
            <family val="0"/>
          </rPr>
          <t xml:space="preserve">
Numbers linked to 1YC final proposals model to keep 0708 allowances fixed</t>
        </r>
      </text>
    </comment>
  </commentList>
</comments>
</file>

<file path=xl/sharedStrings.xml><?xml version="1.0" encoding="utf-8"?>
<sst xmlns="http://schemas.openxmlformats.org/spreadsheetml/2006/main" count="3868" uniqueCount="821">
  <si>
    <t>Stock</t>
  </si>
  <si>
    <t>Creditors : amounts falling due within one year</t>
  </si>
  <si>
    <t>% of index linked debt</t>
  </si>
  <si>
    <t>Indexation of index linked debt</t>
  </si>
  <si>
    <t>Net assets</t>
  </si>
  <si>
    <t>Forecast inflation, %</t>
  </si>
  <si>
    <t>Profit before interest and tax</t>
  </si>
  <si>
    <t>Tax</t>
  </si>
  <si>
    <t>Tax depreciation</t>
  </si>
  <si>
    <t>Cost</t>
  </si>
  <si>
    <t>Accumulated depreciation</t>
  </si>
  <si>
    <t>Change in mains and services repex (total impact)</t>
  </si>
  <si>
    <t>Corporation tax rate, %</t>
  </si>
  <si>
    <t>Regulatory depreciation</t>
  </si>
  <si>
    <t>Opening value bf</t>
  </si>
  <si>
    <t>Closing value cf</t>
  </si>
  <si>
    <t>Average RAV</t>
  </si>
  <si>
    <t>Regulatory Asset Value (RAV)</t>
  </si>
  <si>
    <t>Nominal RAV row 120</t>
  </si>
  <si>
    <t>Nominal RAV row 125</t>
  </si>
  <si>
    <t>2009-13 assumed % of index linked debt</t>
  </si>
  <si>
    <t/>
  </si>
  <si>
    <t>Nominal RAV row 127</t>
  </si>
  <si>
    <t>Net cash flow from ROI &amp;  SOF</t>
  </si>
  <si>
    <t>Net cash flow from capex</t>
  </si>
  <si>
    <t>Price control revenue</t>
  </si>
  <si>
    <t>Tax allowance</t>
  </si>
  <si>
    <t>Change in RAV</t>
  </si>
  <si>
    <t>Opening RAV</t>
  </si>
  <si>
    <t>Present value of closing RAV</t>
  </si>
  <si>
    <t>Difference</t>
  </si>
  <si>
    <t>Discounting factors</t>
  </si>
  <si>
    <t>Closing RAV</t>
  </si>
  <si>
    <t>Total post-tax price control allowed revenue</t>
  </si>
  <si>
    <t>Vanilla Weighted Average Cost of Capital ('Vanilla WACC')</t>
  </si>
  <si>
    <t>2008-09</t>
  </si>
  <si>
    <t>2009-10</t>
  </si>
  <si>
    <t>2010-11</t>
  </si>
  <si>
    <t>2011-12</t>
  </si>
  <si>
    <t>2012-13</t>
  </si>
  <si>
    <t>Mains Repex - no glidepath/with glidepath selection</t>
  </si>
  <si>
    <t>Non-mains Repex - no glidepath/with glidepath selection</t>
  </si>
  <si>
    <t>Assumed gearing for interest and dividends up to 2007-08, %</t>
  </si>
  <si>
    <t>Gearing for 2008-09 opening balance sheet, %</t>
  </si>
  <si>
    <t>Pre-tax cost of debt</t>
  </si>
  <si>
    <t>Post-tax cost of equity</t>
  </si>
  <si>
    <t>Vanilla WACC</t>
  </si>
  <si>
    <t>Net capex additions</t>
  </si>
  <si>
    <t>Balance cf</t>
  </si>
  <si>
    <t>Net cash flow from financing</t>
  </si>
  <si>
    <t>Total assets less current liabilities</t>
  </si>
  <si>
    <t>Post-vesting asset lives</t>
  </si>
  <si>
    <t>Pre-Vesting Asset balance</t>
  </si>
  <si>
    <t>Opening balance bf</t>
  </si>
  <si>
    <t>Net capex additions (post-vesting)</t>
  </si>
  <si>
    <t>Post-vesting asset life</t>
  </si>
  <si>
    <t>Net value after regulatory depreciation</t>
  </si>
  <si>
    <t>Accounting depreciation</t>
  </si>
  <si>
    <t>Corporation tax charge</t>
  </si>
  <si>
    <t>Amt. subject to corp. tax  x  corp tax rate</t>
  </si>
  <si>
    <t>Pre-vesting asset life</t>
  </si>
  <si>
    <t>Previous year RPI</t>
  </si>
  <si>
    <t>Regulatory depreciation (cumulative)</t>
  </si>
  <si>
    <t>Net capex additions (annual)</t>
  </si>
  <si>
    <t>Closing value (net)</t>
  </si>
  <si>
    <t>Opening value (gross)</t>
  </si>
  <si>
    <t>Controllable operating costs</t>
  </si>
  <si>
    <t>Non-controllable operating costs</t>
  </si>
  <si>
    <t>Regulatory Depreciation Allowance</t>
  </si>
  <si>
    <t>Current tax</t>
  </si>
  <si>
    <t>Amount subject to current tax</t>
  </si>
  <si>
    <t>Profit subject to current tax</t>
  </si>
  <si>
    <t>Incentive allowance / (disallowance) under capex roller from 2002-07 control</t>
  </si>
  <si>
    <t>2002/03</t>
  </si>
  <si>
    <t>2003/04</t>
  </si>
  <si>
    <t>2004/05</t>
  </si>
  <si>
    <t>2005/06</t>
  </si>
  <si>
    <t>2006/07</t>
  </si>
  <si>
    <t>Total</t>
  </si>
  <si>
    <t>Interest payable</t>
  </si>
  <si>
    <t>Non-current assets</t>
  </si>
  <si>
    <t>General inputs</t>
  </si>
  <si>
    <t>Formula year</t>
  </si>
  <si>
    <t xml:space="preserve">Disaggregated inputs for IQI and breakdown </t>
  </si>
  <si>
    <t>One year control model outputs</t>
  </si>
  <si>
    <t>Disposals from RAV (including transfers)</t>
  </si>
  <si>
    <t>Depreciation from disposals</t>
  </si>
  <si>
    <t>Disposals</t>
  </si>
  <si>
    <t>Disposals (annual)</t>
  </si>
  <si>
    <t>Check v. closing bal.on traditional method</t>
  </si>
  <si>
    <t>2000/01</t>
  </si>
  <si>
    <t>2007/08</t>
  </si>
  <si>
    <t>2008/09</t>
  </si>
  <si>
    <t>2009/10</t>
  </si>
  <si>
    <t>2010/11</t>
  </si>
  <si>
    <t>2011/12</t>
  </si>
  <si>
    <t>Profit &amp; Loss Account</t>
  </si>
  <si>
    <r>
      <t xml:space="preserve">Total </t>
    </r>
    <r>
      <rPr>
        <b/>
        <sz val="10"/>
        <rFont val="Verdana"/>
        <family val="2"/>
      </rPr>
      <t xml:space="preserve">GDN </t>
    </r>
    <r>
      <rPr>
        <sz val="10"/>
        <rFont val="Verdana"/>
        <family val="2"/>
      </rPr>
      <t>capex + repex per BPQ excluding LTS capex and risers: company view</t>
    </r>
  </si>
  <si>
    <r>
      <t xml:space="preserve">Total </t>
    </r>
    <r>
      <rPr>
        <b/>
        <sz val="10"/>
        <rFont val="Verdana"/>
        <family val="2"/>
      </rPr>
      <t xml:space="preserve">GDN </t>
    </r>
    <r>
      <rPr>
        <sz val="10"/>
        <rFont val="Verdana"/>
        <family val="2"/>
      </rPr>
      <t>capex + repex excluding LTS capex and risers: Ofgem view</t>
    </r>
  </si>
  <si>
    <r>
      <t xml:space="preserve">Total </t>
    </r>
    <r>
      <rPr>
        <b/>
        <sz val="10"/>
        <rFont val="Verdana"/>
        <family val="2"/>
      </rPr>
      <t xml:space="preserve">Group </t>
    </r>
    <r>
      <rPr>
        <sz val="10"/>
        <rFont val="Verdana"/>
        <family val="2"/>
      </rPr>
      <t>capex + repex excluding LTS capex and risers: Ofgem view</t>
    </r>
  </si>
  <si>
    <r>
      <t xml:space="preserve">Total </t>
    </r>
    <r>
      <rPr>
        <b/>
        <sz val="10"/>
        <rFont val="Verdana"/>
        <family val="2"/>
      </rPr>
      <t xml:space="preserve">Group </t>
    </r>
    <r>
      <rPr>
        <sz val="10"/>
        <rFont val="Verdana"/>
        <family val="2"/>
      </rPr>
      <t>capex + repex per BPQ excluding LTS capex and risers: company view</t>
    </r>
  </si>
  <si>
    <t>Capex and repex allowance (including LTS capex and risers)</t>
  </si>
  <si>
    <t>Repex allowance (excluding risers)</t>
  </si>
  <si>
    <r>
      <t xml:space="preserve">Capitalised portion (including LTS capex </t>
    </r>
    <r>
      <rPr>
        <b/>
        <sz val="10"/>
        <rFont val="Verdana"/>
        <family val="2"/>
      </rPr>
      <t>and 50% of risers</t>
    </r>
    <r>
      <rPr>
        <sz val="10"/>
        <rFont val="Verdana"/>
        <family val="2"/>
      </rPr>
      <t>)</t>
    </r>
  </si>
  <si>
    <r>
      <t>Expensed portion (</t>
    </r>
    <r>
      <rPr>
        <b/>
        <sz val="10"/>
        <rFont val="Verdana"/>
        <family val="2"/>
      </rPr>
      <t>including 50% of risers</t>
    </r>
    <r>
      <rPr>
        <sz val="10"/>
        <rFont val="Verdana"/>
        <family val="2"/>
      </rPr>
      <t>)</t>
    </r>
  </si>
  <si>
    <r>
      <t xml:space="preserve">Expensed repex allowance (from IQI calculation) </t>
    </r>
    <r>
      <rPr>
        <b/>
        <sz val="11"/>
        <rFont val="Verdana"/>
        <family val="2"/>
      </rPr>
      <t>including 50% of risers</t>
    </r>
  </si>
  <si>
    <r>
      <t xml:space="preserve">Capitalised repex allowance (from IQI calculation) </t>
    </r>
    <r>
      <rPr>
        <b/>
        <sz val="10"/>
        <rFont val="Verdana"/>
        <family val="2"/>
      </rPr>
      <t>including 50% of risers</t>
    </r>
  </si>
  <si>
    <t>Capex incentive receipt/(cost)</t>
  </si>
  <si>
    <t>Amount to be recovered in 2008/09</t>
  </si>
  <si>
    <t>Profit/(loss) based on 6.25% nominal interest and 60% gearing</t>
  </si>
  <si>
    <t>Cash at bank</t>
  </si>
  <si>
    <t>Investments</t>
  </si>
  <si>
    <t>Called up ordinary share capital (including share premium)</t>
  </si>
  <si>
    <t>Profit and Loss Account</t>
  </si>
  <si>
    <t>Other Reserves</t>
  </si>
  <si>
    <t>Reduction/(increase) in short-term deposits with banks</t>
  </si>
  <si>
    <t>Selection box for picking company data</t>
  </si>
  <si>
    <t>Other provisions</t>
  </si>
  <si>
    <t>Other creditors</t>
  </si>
  <si>
    <t>Capital and reserves</t>
  </si>
  <si>
    <t>Check for balance with net assets</t>
  </si>
  <si>
    <t>Capex</t>
  </si>
  <si>
    <t>Additions</t>
  </si>
  <si>
    <t>40% expensed</t>
  </si>
  <si>
    <t>50% expensed</t>
  </si>
  <si>
    <t xml:space="preserve">Source for company selection box </t>
  </si>
  <si>
    <t>(Decrease)/Increase in amounts due to Group undertakings</t>
  </si>
  <si>
    <t>Net Current Assets (Liabilities)</t>
  </si>
  <si>
    <t>Equity dividends</t>
  </si>
  <si>
    <t>Equity dividends paid</t>
  </si>
  <si>
    <t>Increase/(Decrease) in cash for year</t>
  </si>
  <si>
    <t>2012/13</t>
  </si>
  <si>
    <t>Balance sheet ratio assumptions</t>
  </si>
  <si>
    <t>Stock days</t>
  </si>
  <si>
    <t>Debtor days</t>
  </si>
  <si>
    <t>Creditor days</t>
  </si>
  <si>
    <t>Note: all current assets and liabilities are based on standardised current ratios above.</t>
  </si>
  <si>
    <t>Pre-2002 average remaining life (assumed asset life 56 years)</t>
  </si>
  <si>
    <t>Exceptional items (P&amp;L)</t>
  </si>
  <si>
    <t>Non-current liabilities</t>
  </si>
  <si>
    <t>Difference, forward valued for allowance purposes</t>
  </si>
  <si>
    <t>Shrinkage: actual / forecast</t>
  </si>
  <si>
    <t>Repex</t>
  </si>
  <si>
    <t>Real post tax P0</t>
  </si>
  <si>
    <t>Real post tax X (profiled -&gt; constant)</t>
  </si>
  <si>
    <t>Output checks</t>
  </si>
  <si>
    <t>Total of allowed costs (non-pass through)</t>
  </si>
  <si>
    <t>nominal to real RAV check</t>
  </si>
  <si>
    <t>Actuals</t>
  </si>
  <si>
    <t>Disallowed opex</t>
  </si>
  <si>
    <t>Note: All financial statements are based on pro forma regulatory financing assumptions, and are not forecasts of any GDN's actual financial position</t>
  </si>
  <si>
    <t>NB: the non-formula data assume costs as per GDN BPQs. They also assume costs = revenues, as is standard regulatory practice.</t>
  </si>
  <si>
    <t>Section 1. Allowances - conformed to real basis: to 2008</t>
  </si>
  <si>
    <t>Controllable (inc. shrinkage and pensions)</t>
  </si>
  <si>
    <t>Section 2. Forecasts - from 2008</t>
  </si>
  <si>
    <t>Mains Repex (pre IQI)</t>
  </si>
  <si>
    <t>Non-mains Repex (pre IQI)</t>
  </si>
  <si>
    <t>Shrinkage assumption</t>
  </si>
  <si>
    <t xml:space="preserve">GDN repex bid excluding risers and workload adjusted - for IQI </t>
  </si>
  <si>
    <t xml:space="preserve">GDN net capex bid excluding LTS - for IQI </t>
  </si>
  <si>
    <t>Non formula costs: total</t>
  </si>
  <si>
    <t>Section 3. allowances detail</t>
  </si>
  <si>
    <t>Net capex</t>
  </si>
  <si>
    <t>Pensions - allowance (calculated)</t>
  </si>
  <si>
    <t>Section 4: Tax allowances (opening balance at 31 May 05 nominal, additions in 2000 prices)</t>
  </si>
  <si>
    <t>Section 5: Balance sheet information for preparing balance sheet and cash flow for ratio analysis. All direct from BPQs except where supplementary questions revealed errors</t>
  </si>
  <si>
    <t>Section 6: RAV analysis</t>
  </si>
  <si>
    <t>Updated for 0506 and 0607 actuals</t>
  </si>
  <si>
    <t>Section 7a. One year control model outputs</t>
  </si>
  <si>
    <t>Section 7b. 2007/08 inputs before updated to 0506 and 0607 actuals</t>
  </si>
  <si>
    <t>All other capex</t>
  </si>
  <si>
    <t>Mains and services</t>
  </si>
  <si>
    <t>Capex - Ofgem view</t>
  </si>
  <si>
    <t>Section 8. Disaggregated inputs</t>
  </si>
  <si>
    <t>Repex - Ofgem view</t>
  </si>
  <si>
    <t>Mains and services (note that replacement incentive applied to mains only prior to 2008/09)</t>
  </si>
  <si>
    <t>LTS repex</t>
  </si>
  <si>
    <t>Risers</t>
  </si>
  <si>
    <t>General Provisions</t>
  </si>
  <si>
    <t>Pensions - P&amp;L less cash paid</t>
  </si>
  <si>
    <t>Amortisations of capital contributions &amp; finance leases</t>
  </si>
  <si>
    <t>Depreciation on opening balance (including depreciation on pre-vesting assets)</t>
  </si>
  <si>
    <t>Pot 2 transfers</t>
  </si>
  <si>
    <t>Allowed RAV for calculating annual returns</t>
  </si>
  <si>
    <t>Allowed RAV including Pot 3 overspend</t>
  </si>
  <si>
    <t>Ofgem RAV (Allowed RAV + Pot 2 + Pot 3)</t>
  </si>
  <si>
    <t>%age of under recovery allocated to GDNs</t>
  </si>
  <si>
    <t>Under recovery</t>
  </si>
  <si>
    <t>Pension allowances</t>
  </si>
  <si>
    <t>Depreciation factor (%age)</t>
  </si>
  <si>
    <t>Regulatory Asset Value (RAV) before adjustment</t>
  </si>
  <si>
    <t>Check to real</t>
  </si>
  <si>
    <t>Profits on disposal - not allowable</t>
  </si>
  <si>
    <t>Strength of "allow all in at 1 April 2007"</t>
  </si>
  <si>
    <t>Proportion of implied incentive payment to achieve fixed strength</t>
  </si>
  <si>
    <t>First column</t>
  </si>
  <si>
    <t>CAPX</t>
  </si>
  <si>
    <t>Allowance</t>
  </si>
  <si>
    <t>Over / (underspend)</t>
  </si>
  <si>
    <t>Non-mains repex</t>
  </si>
  <si>
    <t>Total capitalised expenditure</t>
  </si>
  <si>
    <t>Allowance (capx + 50% non-mains repex)</t>
  </si>
  <si>
    <t>Actual (capx + 50% non-main repex allowance + non-mains repex variance)</t>
  </si>
  <si>
    <t>Rounded X</t>
  </si>
  <si>
    <t>2007/08 allowance</t>
  </si>
  <si>
    <t>Over/(under) spend</t>
  </si>
  <si>
    <t>Total allowance for CAPX + Non-mains repex</t>
  </si>
  <si>
    <t>Actual total CAPX + non-mains repex</t>
  </si>
  <si>
    <t>"Allowed revenue" - sheet for calculating price control revenue using "change in RAV" methodology for evaluating allowed return on capital.</t>
  </si>
  <si>
    <t>"Output checks" - checking sheet calculates price control revenue using separate depreciation and return on RAV allowances, plus other checks</t>
  </si>
  <si>
    <t>Company forecasts for Price Control Year for Repex &amp; Capex</t>
  </si>
  <si>
    <t>Capex - forecast</t>
  </si>
  <si>
    <t>Capex - disallowed</t>
  </si>
  <si>
    <t>Mains repex - forecast</t>
  </si>
  <si>
    <t>Mains repex - disallowed</t>
  </si>
  <si>
    <t>Capex - allowance</t>
  </si>
  <si>
    <t>Mains repex - allowance</t>
  </si>
  <si>
    <t>Non-Mains repex - forecast</t>
  </si>
  <si>
    <t>Non-Mains repex - disallowed</t>
  </si>
  <si>
    <t>London</t>
  </si>
  <si>
    <t>North England</t>
  </si>
  <si>
    <t>South England</t>
  </si>
  <si>
    <t>East of England</t>
  </si>
  <si>
    <t>X</t>
  </si>
  <si>
    <t>Non-Mains repex - allowance</t>
  </si>
  <si>
    <t>Actuals &amp; revised forecasts (adjusted for Ofgem disallowances)</t>
  </si>
  <si>
    <t>50% repex actual</t>
  </si>
  <si>
    <t>One year control allowance</t>
  </si>
  <si>
    <t>PV one year control allowance</t>
  </si>
  <si>
    <t>Additional tax from 2007/08</t>
  </si>
  <si>
    <t>Spread over main control period</t>
  </si>
  <si>
    <t>Pensions - %age allowed as cash (to 07/08 - for tax - actual capitalised contributions 09-13)</t>
  </si>
  <si>
    <t>Pensions - %age allowed as cash (to 07/08 - for tax - BPQ capitalised contributions 09-13)</t>
  </si>
  <si>
    <t>Pension %age within opex allowance to 07/08 - actual capitalised contributions 09-13 for tax</t>
  </si>
  <si>
    <t>Remaining for main control</t>
  </si>
  <si>
    <t>Pension under-recovery allowance</t>
  </si>
  <si>
    <t>Allowed rev 07 row 41</t>
  </si>
  <si>
    <t>Allowed rev 07 row 42</t>
  </si>
  <si>
    <t>Input row 94</t>
  </si>
  <si>
    <t>Input row 96</t>
  </si>
  <si>
    <t>Input row 95</t>
  </si>
  <si>
    <t>Allowed RAV for calculating annual returns: Opening value bf</t>
  </si>
  <si>
    <t>Real RAV row 10</t>
  </si>
  <si>
    <t>Allowed RAV including Pot 3 overspend: Opening value bf</t>
  </si>
  <si>
    <t>Additional pot 3 under recovery following RAV roll forward update (PV to 31/03/07)</t>
  </si>
  <si>
    <t>PV of pot 3 under recoveries - pre RAV RF adjustment</t>
  </si>
  <si>
    <t>PV of pot 3 under recoveries - post RAV RF adjustment</t>
  </si>
  <si>
    <t>Total return on pot 3 RAV</t>
  </si>
  <si>
    <t>Real RAV row 19</t>
  </si>
  <si>
    <t>Pre-vesting assets balance - cost: Opening balance bf</t>
  </si>
  <si>
    <t>Real RAV row 46</t>
  </si>
  <si>
    <t>Pre-vesting assets balance - accumulated depn: Opening balance bf</t>
  </si>
  <si>
    <t>Real RAV row 51</t>
  </si>
  <si>
    <t>Post-2002 asset balance - cost: Opening balance bf</t>
  </si>
  <si>
    <t>Real RAV row 68</t>
  </si>
  <si>
    <t>Post-2002 asset balance - accumulated depn: Opening balance bf</t>
  </si>
  <si>
    <t>Real RAV row 75</t>
  </si>
  <si>
    <t>RAV before adjustment: Opening value (gross)</t>
  </si>
  <si>
    <t>total</t>
  </si>
  <si>
    <t>CAPX allowance: Ofgem view</t>
  </si>
  <si>
    <t>Real RAV row 85</t>
  </si>
  <si>
    <t>RAV before adjustment:Regulatory depreciation (cumulative)</t>
  </si>
  <si>
    <t>Real RAV row 86</t>
  </si>
  <si>
    <t>RAV before adjustment: Net capex additions (annual)</t>
  </si>
  <si>
    <t>Real RAV row 87</t>
  </si>
  <si>
    <t>Pot 2 opening  balance</t>
  </si>
  <si>
    <t>Real RAV row 94</t>
  </si>
  <si>
    <t>Pot 2 transfers to RAV</t>
  </si>
  <si>
    <t>Real RAV row 96</t>
  </si>
  <si>
    <t>Pot 2 depn opening balance</t>
  </si>
  <si>
    <t>Real RAV row 99</t>
  </si>
  <si>
    <t>Pot 3 Gross Opening balance</t>
  </si>
  <si>
    <t>Real RAV row 107</t>
  </si>
  <si>
    <t>Pot 3 Depreciation Opening balance</t>
  </si>
  <si>
    <t>Real RAV row 111</t>
  </si>
  <si>
    <t xml:space="preserve">Pot 3 Depreciation on opening balance </t>
  </si>
  <si>
    <t>Additional income from IQI</t>
  </si>
  <si>
    <t>5 yr avg</t>
  </si>
  <si>
    <t>Breakdown output, all GDNs</t>
  </si>
  <si>
    <t>One input sheet per licensee included in the model.</t>
  </si>
  <si>
    <t>"Breakdown output all DNs" - As above, for all DNs individually and in total</t>
  </si>
  <si>
    <t>"Breakdown by DN" - Copy of breakdown of factors contributing to P0 and X by DN. Includes disaggregated breakdown to highlight key drivers of increases/decreases</t>
  </si>
  <si>
    <t>Real RAV row 112</t>
  </si>
  <si>
    <t>Real RAV row 127</t>
  </si>
  <si>
    <t>Nominal RAV row 10</t>
  </si>
  <si>
    <t>Nominal RAV row 20</t>
  </si>
  <si>
    <t>Ofgem RAV (Allowed RAV + Pot 2 + Pot 3): Opening value bf</t>
  </si>
  <si>
    <t>Nominal RAV row 32</t>
  </si>
  <si>
    <t>Nominal RAV row 49</t>
  </si>
  <si>
    <t>Nominal RAV row 56</t>
  </si>
  <si>
    <t>Nominal RAV row 74</t>
  </si>
  <si>
    <t>Nominal RAV row 83</t>
  </si>
  <si>
    <t>Nominal RAV row 104</t>
  </si>
  <si>
    <t>Pot 2 Transfers to RAV</t>
  </si>
  <si>
    <t>Nominal RAV row 108</t>
  </si>
  <si>
    <t>Nominal RAV row 111</t>
  </si>
  <si>
    <t>Nominal RAV row</t>
  </si>
  <si>
    <t>Controllable operating costs (excl 50% repex, pensions &amp; shrinkage )</t>
  </si>
  <si>
    <t>Controllable operating costs (excl. shrinkage &amp; pensions)</t>
  </si>
  <si>
    <t>Pension %age ongoing contributions</t>
  </si>
  <si>
    <t>Pension contributions: ongoing %age</t>
  </si>
  <si>
    <t>Excluding non-controllable costs</t>
  </si>
  <si>
    <t>Pension deficit funding contributions</t>
  </si>
  <si>
    <t>Reclassified to mains repex</t>
  </si>
  <si>
    <t>Revised Actuals</t>
  </si>
  <si>
    <t>Accounting depreciation lives</t>
  </si>
  <si>
    <t>Pre-vesting asset life (average for sum of digits calculation)</t>
  </si>
  <si>
    <r>
      <t>Controllable operating costs (</t>
    </r>
    <r>
      <rPr>
        <b/>
        <sz val="11"/>
        <rFont val="Verdana"/>
        <family val="2"/>
      </rPr>
      <t>including shrinkage &amp; pensions)</t>
    </r>
  </si>
  <si>
    <t>Turnover (based on bottom up costs - before SO and metering adjuistments)</t>
  </si>
  <si>
    <t>Turnover (after profiling and adjustments)</t>
  </si>
  <si>
    <t>Mains repex after reclassification</t>
  </si>
  <si>
    <t>Non-Mains repex after reclassification</t>
  </si>
  <si>
    <t>Pension and shrinkage data</t>
  </si>
  <si>
    <t>Pension allowance (derived opex allowance)</t>
  </si>
  <si>
    <t>Pension actuals (opex actuals - i.e. total * %age as opex)</t>
  </si>
  <si>
    <t>RPI (half year average to Jul - Dec) except 15months end March 02</t>
  </si>
  <si>
    <t>£m</t>
  </si>
  <si>
    <t>Opening asset value</t>
  </si>
  <si>
    <t>Total capital expenditure</t>
  </si>
  <si>
    <t>Closing asset value</t>
  </si>
  <si>
    <t>Disposals - pre-2002 : Ignore 07-08</t>
  </si>
  <si>
    <t>Disposals - post-2002 : Ignore 07-08</t>
  </si>
  <si>
    <t>Return on RAV</t>
  </si>
  <si>
    <t>Under-recoveries from 2002-07 control</t>
  </si>
  <si>
    <t>Non-controllable costs</t>
  </si>
  <si>
    <t>Price Control Revenue</t>
  </si>
  <si>
    <t>Allowed costs</t>
  </si>
  <si>
    <t>Total of allowed costs</t>
  </si>
  <si>
    <t>check</t>
  </si>
  <si>
    <t>Portion of Pot 2 which is inefficiet within allowance</t>
  </si>
  <si>
    <t>NTS charge for pensions</t>
  </si>
  <si>
    <t xml:space="preserve">Change as %age </t>
  </si>
  <si>
    <t>Indexation compared to opening RPI - real case</t>
  </si>
  <si>
    <t>Indexation compared to opening RPI - nominal case</t>
  </si>
  <si>
    <t>Note: Return on RAV is calculated as RAV additions + change in RAV less depreciation, i.e.: 13 = 2 + 3 + 7 - 14</t>
  </si>
  <si>
    <t>Using yearly averages (January to Dec for 2000 and 2001, quarterly average for Q1 2002 and April to March for other years)</t>
  </si>
  <si>
    <t>Allowed spend within Pot 2</t>
  </si>
  <si>
    <t xml:space="preserve">RPI factors for ongoing amounts: (year average - assumes all numbers real) </t>
  </si>
  <si>
    <t xml:space="preserve">RPI factors for ongoing amounts: (year average - assumes inflation in FY07 &amp; FY08) </t>
  </si>
  <si>
    <t>Roller strength</t>
  </si>
  <si>
    <t>Shrinkage actual</t>
  </si>
  <si>
    <t>Mains repex actual after reclassification</t>
  </si>
  <si>
    <t>Non-mains repex actual after reclassification</t>
  </si>
  <si>
    <t>Revised Actual / forecast non-mains repex</t>
  </si>
  <si>
    <t>Pension deficit (not used here)</t>
  </si>
  <si>
    <t>Internal Loans (do not use)</t>
  </si>
  <si>
    <t>Pension deficit (do not use)</t>
  </si>
  <si>
    <t>Interest rate to use for actual ratio calculations</t>
  </si>
  <si>
    <t>Interest rate to use for actual ratio calculations: accrued</t>
  </si>
  <si>
    <t>Interest rate to use for actual ratio calculations: cash</t>
  </si>
  <si>
    <t>Allowed revenue 07/08 - for checking only - from 1YC FP</t>
  </si>
  <si>
    <t>2007/08 total allowed revenue - for checking</t>
  </si>
  <si>
    <t>2007/08 Allowance check</t>
  </si>
  <si>
    <t>All data in 2005-06 prices</t>
  </si>
  <si>
    <t>GDN</t>
  </si>
  <si>
    <t>P0 (excluding additional allowance for pensions, under-recovery)</t>
  </si>
  <si>
    <t>P0 (including additional allowance for pensions, under-recovery)</t>
  </si>
  <si>
    <t>Additional allowance for Pot 3 overspend</t>
  </si>
  <si>
    <t>Summary of additional pension allowances (above opex allowance)</t>
  </si>
  <si>
    <t>1. Master calculation sheets</t>
  </si>
  <si>
    <t>"Input" - sheet for choosing preferred GDN or licensee and combining related inputs.</t>
  </si>
  <si>
    <t>"Pension Allowance" - separate sheet which calculates pension allowances</t>
  </si>
  <si>
    <t>3. Reporting statements</t>
  </si>
  <si>
    <t>ok</t>
  </si>
  <si>
    <t>Wales and West</t>
  </si>
  <si>
    <t>No profiling</t>
  </si>
  <si>
    <t>"P&amp;L"</t>
  </si>
  <si>
    <t>"P&amp;L (nominal)"</t>
  </si>
  <si>
    <t>Loss / (Profit) on disposal of fixed assets</t>
  </si>
  <si>
    <t>Additional income (uncapped) per £100m of Ofgem assumption</t>
  </si>
  <si>
    <t>Capex and repex allowance per £100m of Ofgem assumption</t>
  </si>
  <si>
    <t>DN:Ofgem ratio</t>
  </si>
  <si>
    <t>Change in controllables (including pensions)</t>
  </si>
  <si>
    <t>Impact of Pot 2</t>
  </si>
  <si>
    <t>"Tax"</t>
  </si>
  <si>
    <t>"Tax (nominal)"</t>
  </si>
  <si>
    <t>"Cash Flow (nominal)"</t>
  </si>
  <si>
    <t xml:space="preserve">LTS &amp; Storage </t>
  </si>
  <si>
    <t>2007/08 mid year PV factors - for calculating under recoveries</t>
  </si>
  <si>
    <t>PV factors to 31/03/2008</t>
  </si>
  <si>
    <t>2008/09 mid year PV factors</t>
  </si>
  <si>
    <t>Forward valued to end of 2007/08</t>
  </si>
  <si>
    <t>05-06</t>
  </si>
  <si>
    <t>Variable inputs/sensitivites</t>
  </si>
  <si>
    <t>Assumed gearing</t>
  </si>
  <si>
    <t>Post tax WACC</t>
  </si>
  <si>
    <t>Corporation tax rate</t>
  </si>
  <si>
    <t>Output summary</t>
  </si>
  <si>
    <t>av % change</t>
  </si>
  <si>
    <t>Calcs for flying boxes ("average X")</t>
  </si>
  <si>
    <t>Pension deficit funding</t>
  </si>
  <si>
    <t>average</t>
  </si>
  <si>
    <t>Total GDN repex bid excluding risers</t>
  </si>
  <si>
    <t>Total GDN repex and capex bid excluding LTS capex and risers</t>
  </si>
  <si>
    <t>Ofgem view: total capex and repex excluding LTS capex and risers</t>
  </si>
  <si>
    <t>Controllables (including pensions)</t>
  </si>
  <si>
    <t>Non controllables and pension deficit closure</t>
  </si>
  <si>
    <t>Mains and services repex</t>
  </si>
  <si>
    <t>Other capex and repex</t>
  </si>
  <si>
    <t>Total - costs</t>
  </si>
  <si>
    <t>Total - costs, tax and return on capital</t>
  </si>
  <si>
    <t>Cost of capital outputs (real)</t>
  </si>
  <si>
    <t>Deferred tax (based on prevailing corporation tax rate)</t>
  </si>
  <si>
    <t>Cost of capital inputs 2009-2013 (real)</t>
  </si>
  <si>
    <t xml:space="preserve">% of repex expensed </t>
  </si>
  <si>
    <t>Expensed repex</t>
  </si>
  <si>
    <t>Expensed repex allowance</t>
  </si>
  <si>
    <t>"Balance Sheet (nominal)"</t>
  </si>
  <si>
    <t>2007/08 inputs calculated using pre-2006 data</t>
  </si>
  <si>
    <t>Pension under recovery</t>
  </si>
  <si>
    <t>Allowed RAV for calculating annual returns: 2002/03 opening value bf</t>
  </si>
  <si>
    <t>Pot 3 2002/03 gross opening balance</t>
  </si>
  <si>
    <t>Inputs to Real RAV calculation</t>
  </si>
  <si>
    <t>Inputs to Nominal RAV calculation</t>
  </si>
  <si>
    <t>/(1+tax rate)</t>
  </si>
  <si>
    <t>Formula turnover</t>
  </si>
  <si>
    <t>Non formula turnover</t>
  </si>
  <si>
    <t>Non formula costs</t>
  </si>
  <si>
    <t xml:space="preserve">Combined </t>
  </si>
  <si>
    <t>Non formula inputs</t>
  </si>
  <si>
    <t>There is no analysis of the balance sheet and cash flow on a real basis as this is considered somewhat meaningless.</t>
  </si>
  <si>
    <t>4. Regulatory analysis - RAV roll-forward</t>
  </si>
  <si>
    <t>RealRAV</t>
  </si>
  <si>
    <t>5. Ofgem analysis of price control settlement</t>
  </si>
  <si>
    <t>NominalRAV - including implied RAV &amp; depreciation indexation calculation</t>
  </si>
  <si>
    <t>"GDN data output sheet" - Template for preparation of detailed analysis of price control settlement for each GDN</t>
  </si>
  <si>
    <t>2. Input sheets</t>
  </si>
  <si>
    <t>"RPI factors" - self explanatory</t>
  </si>
  <si>
    <t>Inflation (annual)</t>
  </si>
  <si>
    <t>Section 1. Allowances - conformed to real basis</t>
  </si>
  <si>
    <t>Section 10. Extracts from "Ofgem adjustments" schedule of analysis of company inputs</t>
  </si>
  <si>
    <t>Annual pension charge under NTS deficit charging arrangements</t>
  </si>
  <si>
    <t>Pension deficit recovery (actives)</t>
  </si>
  <si>
    <t>Pension deficit recovery (NTS charge)</t>
  </si>
  <si>
    <t>Pot 3 underspend allowance</t>
  </si>
  <si>
    <t>Tax, including impact of 2007/08 tax under recovery</t>
  </si>
  <si>
    <t>Change in non controllables and pension deficit closure</t>
  </si>
  <si>
    <t>% repex expensed</t>
  </si>
  <si>
    <r>
      <t xml:space="preserve">Add </t>
    </r>
    <r>
      <rPr>
        <sz val="11"/>
        <rFont val="Verdana"/>
        <family val="2"/>
      </rPr>
      <t>Accounting depreciation</t>
    </r>
  </si>
  <si>
    <r>
      <t>Less</t>
    </r>
    <r>
      <rPr>
        <sz val="11"/>
        <rFont val="Verdana"/>
        <family val="2"/>
      </rPr>
      <t xml:space="preserve"> Capital allowances</t>
    </r>
  </si>
  <si>
    <r>
      <t>Less</t>
    </r>
    <r>
      <rPr>
        <sz val="11"/>
        <rFont val="Verdana"/>
        <family val="2"/>
      </rPr>
      <t xml:space="preserve"> Amortisations of capital contributions &amp; finance leases</t>
    </r>
  </si>
  <si>
    <r>
      <t>Less</t>
    </r>
    <r>
      <rPr>
        <sz val="11"/>
        <rFont val="Verdana"/>
        <family val="2"/>
      </rPr>
      <t xml:space="preserve"> Capitalised pension contributions</t>
    </r>
  </si>
  <si>
    <r>
      <t>Less</t>
    </r>
    <r>
      <rPr>
        <sz val="11"/>
        <rFont val="Verdana"/>
        <family val="2"/>
      </rPr>
      <t xml:space="preserve"> Profits on disposal - outside price control</t>
    </r>
  </si>
  <si>
    <t>PV of under recoveries 2002-2007</t>
  </si>
  <si>
    <t>PV factors to 31/03/2007 - for calculating under recoveries</t>
  </si>
  <si>
    <t>Inputs for IQI</t>
  </si>
  <si>
    <t>Total GDN capex bid excluding LTS</t>
  </si>
  <si>
    <t>Mains repex: Ofgem view (split between opex and RAV)</t>
  </si>
  <si>
    <t>Non-mains repex: Ofgem view (split between opex and RAV)</t>
  </si>
  <si>
    <t>Total repex: Ofgem view</t>
  </si>
  <si>
    <t>flat nominal except NGN - flat real</t>
  </si>
  <si>
    <t>flat nominal - all companies</t>
  </si>
  <si>
    <t>\\lun8\networks\Gas distribution\Gas Distribution Price Control\Financial Issues\Financial Model\Main control\Input data\Final version of 1-year model for tax under recovery calc.xls</t>
  </si>
  <si>
    <t>NTS charging item re: deferred pensions</t>
  </si>
  <si>
    <t>Opening RAV - PV Closing RAV</t>
  </si>
  <si>
    <t>Metering Adjustment</t>
  </si>
  <si>
    <t>breakdown = total</t>
  </si>
  <si>
    <t>Net RAV additions</t>
  </si>
  <si>
    <t>Pot 3, including pre-2002 assets included as opening balance</t>
  </si>
  <si>
    <t>Capex incentive receipt / (cost)</t>
  </si>
  <si>
    <t>Capex incentive (Pot 2) calculations</t>
  </si>
  <si>
    <t>Opening Pot 2</t>
  </si>
  <si>
    <t>Cumulative</t>
  </si>
  <si>
    <t>Invisible column</t>
  </si>
  <si>
    <t>Increase column</t>
  </si>
  <si>
    <t>Decrease column</t>
  </si>
  <si>
    <t>Cross zero column 1</t>
  </si>
  <si>
    <t>Cross zero column 2</t>
  </si>
  <si>
    <t>Cross zero label column</t>
  </si>
  <si>
    <t>Final Column</t>
  </si>
  <si>
    <t>Closing Pot 2</t>
  </si>
  <si>
    <t>PV of closing Pot 2</t>
  </si>
  <si>
    <t>Net Pot 2 additions</t>
  </si>
  <si>
    <t>Change in Pot 2 - FV to mid year</t>
  </si>
  <si>
    <t>Pot 2 Allowance</t>
  </si>
  <si>
    <t>Implied Incentive payment / (cost)</t>
  </si>
  <si>
    <t>SO adjustment (2002/03 actual, rest after profiling)</t>
  </si>
  <si>
    <t>Metering revenue adjustment (2002/03 actual, rest after profiling)</t>
  </si>
  <si>
    <t>Turnover - final - profiled and adjusted</t>
  </si>
  <si>
    <t>Controllable operating costs, allowed but less SO adjustment</t>
  </si>
  <si>
    <t>Controllable operating costs (adjusted by Mike B for misallocation)</t>
  </si>
  <si>
    <t>pensions - actuals to opex</t>
  </si>
  <si>
    <t>Repex actual total</t>
  </si>
  <si>
    <t>Dividends</t>
  </si>
  <si>
    <t>Scotland</t>
  </si>
  <si>
    <t>North West</t>
  </si>
  <si>
    <t>Check</t>
  </si>
  <si>
    <t>50% repex</t>
  </si>
  <si>
    <t>Northern</t>
  </si>
  <si>
    <t>West Midlands</t>
  </si>
  <si>
    <t>Wales &amp; West</t>
  </si>
  <si>
    <t>North London</t>
  </si>
  <si>
    <t>Southern</t>
  </si>
  <si>
    <t>50% Repex</t>
  </si>
  <si>
    <t xml:space="preserve">Net Capital expenditure </t>
  </si>
  <si>
    <t>March 02 opening sculpted RAV</t>
  </si>
  <si>
    <t>Impact of additional income from information quality incentive</t>
  </si>
  <si>
    <t>Pre-2002 calculations</t>
  </si>
  <si>
    <t>Post-2002 Asset balance</t>
  </si>
  <si>
    <t>Cash for exceptional items (assume zero as outside the model)</t>
  </si>
  <si>
    <t xml:space="preserve">DISCLAIMER: Ofgem does not accept any liability or responsibility whatsoever to any person who uses this model. </t>
  </si>
  <si>
    <t>Any person who operates this model does so entirely at their own risk.</t>
  </si>
  <si>
    <t>Ofgem reserves the right to make changes to the model.</t>
  </si>
  <si>
    <t>Capex allowance (excluding LTS)</t>
  </si>
  <si>
    <t>2007/08 tax assuming 6.25% nominal interest and 62.5% gearing</t>
  </si>
  <si>
    <t>IQI incentive allowance</t>
  </si>
  <si>
    <t>Allowed return on Average RAV (Vanilla WACC)</t>
  </si>
  <si>
    <t>Additional Tax Allowance (based on 30% tax)</t>
  </si>
  <si>
    <t>Index</t>
  </si>
  <si>
    <t>Return 6m earlier</t>
  </si>
  <si>
    <t>other</t>
  </si>
  <si>
    <t>Is other &lt;0.25?</t>
  </si>
  <si>
    <t>Return check</t>
  </si>
  <si>
    <t>Total return allowance</t>
  </si>
  <si>
    <t>Return on opening allowed RAV</t>
  </si>
  <si>
    <t>Return on net additions</t>
  </si>
  <si>
    <t>Return (total)</t>
  </si>
  <si>
    <t>Backvalued</t>
  </si>
  <si>
    <t>Present value of opening/closing RAV (at vanilla WACC of 4.84%)</t>
  </si>
  <si>
    <t>Replacement expenditure added to RAV</t>
  </si>
  <si>
    <t>Allowance for change in RAV (=1 - 6, forward valued 6 months)</t>
  </si>
  <si>
    <t>Controllable operating costs (incl. pensions, excl. shrinkage)</t>
  </si>
  <si>
    <t>Price Control Revenue for 2007-08</t>
  </si>
  <si>
    <t>Check to allowance under "07 method"</t>
  </si>
  <si>
    <t>Allowed revenue</t>
  </si>
  <si>
    <t>Total allowed revenue (from 'Allowed revenue - 07' sheet)</t>
  </si>
  <si>
    <t>Total allowance under this method (including additional allowance for pensions, under-recovery)</t>
  </si>
  <si>
    <t>Additional allowance for pensions, under-recovery</t>
  </si>
  <si>
    <t>Revenue calculation check</t>
  </si>
  <si>
    <t>LTS and Storage</t>
  </si>
  <si>
    <t xml:space="preserve">Total Net Repex </t>
  </si>
  <si>
    <t>Post-2002 calculations</t>
  </si>
  <si>
    <t>Present value</t>
  </si>
  <si>
    <t>Allowances</t>
  </si>
  <si>
    <t>Revenue</t>
  </si>
  <si>
    <t>Shrinkage: allowance</t>
  </si>
  <si>
    <t>Shrinkage: actual</t>
  </si>
  <si>
    <t>Pension contributions: allowance</t>
  </si>
  <si>
    <t>P0</t>
  </si>
  <si>
    <t>All GDNs</t>
  </si>
  <si>
    <t>Overspend</t>
  </si>
  <si>
    <t>Pot 1</t>
  </si>
  <si>
    <t>Pot 2</t>
  </si>
  <si>
    <t>Pot 3</t>
  </si>
  <si>
    <t>Adjustments to RAV for CAPX overspend</t>
  </si>
  <si>
    <t>Opening balance</t>
  </si>
  <si>
    <t>Transfers to RAV</t>
  </si>
  <si>
    <t>Closing balance</t>
  </si>
  <si>
    <t>Depreciation opening balance</t>
  </si>
  <si>
    <t>March 02 balance of sculpted RAV</t>
  </si>
  <si>
    <t>RAV disposals (£) - pre 2002</t>
  </si>
  <si>
    <t>RAV disposals (£) - post 2002</t>
  </si>
  <si>
    <t>Gross Opening balance</t>
  </si>
  <si>
    <t>Gross Closing balance</t>
  </si>
  <si>
    <t>Depreciation Opening balance</t>
  </si>
  <si>
    <t>Depreciation closing balance</t>
  </si>
  <si>
    <t>Brought forward tax losses (2007-08 onwards)</t>
  </si>
  <si>
    <t>Carried forward tax losses</t>
  </si>
  <si>
    <t>Brought forward tax losses used</t>
  </si>
  <si>
    <t>Brought forward tax losses</t>
  </si>
  <si>
    <t>Current taxable profit / (losses)</t>
  </si>
  <si>
    <t>Use of brought forward losses</t>
  </si>
  <si>
    <t>Adjustment for brought-forward losses</t>
  </si>
  <si>
    <t>Tax rate</t>
  </si>
  <si>
    <t>Adjusted tax allowance</t>
  </si>
  <si>
    <t>Adjusted tax allowance based on current year profit (net)</t>
  </si>
  <si>
    <t>Tax on adjusted tax allowance</t>
  </si>
  <si>
    <t>Tax allowance based on current year profit (net)</t>
  </si>
  <si>
    <t>Net RAV impact</t>
  </si>
  <si>
    <t>Closing value bf</t>
  </si>
  <si>
    <t>Pension deficit (at March 2006) &amp; annual funding</t>
  </si>
  <si>
    <t>Pension deficit (March 06) and annual funding</t>
  </si>
  <si>
    <t>Closing Debt</t>
  </si>
  <si>
    <t>Additional average RAV in past control period</t>
  </si>
  <si>
    <t>Return on Pot 3 RAV</t>
  </si>
  <si>
    <t>Pension under-recovery</t>
  </si>
  <si>
    <t>PV to 31 March 07</t>
  </si>
  <si>
    <t>Shrinkage allowance</t>
  </si>
  <si>
    <t>Shrinkage actuals</t>
  </si>
  <si>
    <t xml:space="preserve">Pension under-recovery </t>
  </si>
  <si>
    <t>Total additional allowances</t>
  </si>
  <si>
    <t>Net capex allowances</t>
  </si>
  <si>
    <t>Profiled revenues</t>
  </si>
  <si>
    <t>East</t>
  </si>
  <si>
    <t>Mains Repex</t>
  </si>
  <si>
    <t>Non-mains Repex</t>
  </si>
  <si>
    <t>Mains Repex allowance</t>
  </si>
  <si>
    <t>Non-Mains Repex allowance</t>
  </si>
  <si>
    <t>RAV disposals - pre-2002</t>
  </si>
  <si>
    <t>RAV disposals - post-2002</t>
  </si>
  <si>
    <t xml:space="preserve">Convert from </t>
  </si>
  <si>
    <t>Q1 2002</t>
  </si>
  <si>
    <t xml:space="preserve">     Convert to</t>
  </si>
  <si>
    <t>Year end RPI for calculating adjusrments to the RAV (Dec for 2000 and 2001 and March for other years)</t>
  </si>
  <si>
    <t>Figures in red based on estimates for Feb 2006 and March 2006 RPI</t>
  </si>
  <si>
    <t>Actual / forecast capital expenditure</t>
  </si>
  <si>
    <t>Deferred tax (based on 30% tax rate)</t>
  </si>
  <si>
    <t>Profiling</t>
  </si>
  <si>
    <t>Shrinkage</t>
  </si>
  <si>
    <t xml:space="preserve">Shrinkage: </t>
  </si>
  <si>
    <t>Turnover - profiled</t>
  </si>
  <si>
    <t>Turnover - before profiling</t>
  </si>
  <si>
    <t>P0 (to actual)</t>
  </si>
  <si>
    <t>100% repex</t>
  </si>
  <si>
    <t xml:space="preserve">SO adjustment </t>
  </si>
  <si>
    <t xml:space="preserve">Metering revenue adjustment </t>
  </si>
  <si>
    <t>Additional depreciation</t>
  </si>
  <si>
    <t>Pensions - actuals</t>
  </si>
  <si>
    <t>Pension under-recovery charged to OPEX (assumes CAPX overspend already includes pension under-recovery)</t>
  </si>
  <si>
    <t>X=0</t>
  </si>
  <si>
    <t>Breakdown output</t>
  </si>
  <si>
    <t>Use sheet to reconcile Allowed Rev 07 method to more intuitive set of allowed revenue categories</t>
  </si>
  <si>
    <t>PV factor</t>
  </si>
  <si>
    <t>reward/(penalty)</t>
  </si>
  <si>
    <t>As change to rate of return on average RAV</t>
  </si>
  <si>
    <t>OUTPUTS</t>
  </si>
  <si>
    <t>IQI MATRIX (For information only)</t>
  </si>
  <si>
    <t>INPUTS PER DN</t>
  </si>
  <si>
    <t>All years</t>
  </si>
  <si>
    <t>Information quality incentive receipt / (cost)</t>
  </si>
  <si>
    <t xml:space="preserve">Additional income (uncapped) </t>
  </si>
  <si>
    <t>Actual annual expenditure</t>
  </si>
  <si>
    <t>Efficiency incentive strength (capped at 40%)</t>
  </si>
  <si>
    <t>"IQI calculation" - information quality incentive matrix: calculates reward/penalty for allowed revenue calculation based on company and Ofgem views of required expenditure</t>
  </si>
  <si>
    <t>SLIDING SCALE MECHANISM FOR CAPEX EFFICIENCY ("IQI")</t>
  </si>
  <si>
    <t>IQI</t>
  </si>
  <si>
    <t>Allowed revenue, unprofiled</t>
  </si>
  <si>
    <t>Allowed revenue, profiled</t>
  </si>
  <si>
    <t>Price limit, profiled</t>
  </si>
  <si>
    <t>PV of allowed revenue, unprofiled</t>
  </si>
  <si>
    <t>PV of allowed revenue, profiled</t>
  </si>
  <si>
    <t>Price limit, unprofiled</t>
  </si>
  <si>
    <t>Adjustment for X</t>
  </si>
  <si>
    <t>Total adjustment factor (PV and X)</t>
  </si>
  <si>
    <t>P0 unadjusted, X=constant</t>
  </si>
  <si>
    <t>X=-3%</t>
  </si>
  <si>
    <t>Goodwill</t>
  </si>
  <si>
    <t>Other Debtors</t>
  </si>
  <si>
    <t>Other current assets</t>
  </si>
  <si>
    <t>Short-term borrowings</t>
  </si>
  <si>
    <t>Trade Creditors</t>
  </si>
  <si>
    <t>Other current liabilities</t>
  </si>
  <si>
    <t>Other long-term creditors</t>
  </si>
  <si>
    <t>Environmental</t>
  </si>
  <si>
    <t>Restructuring</t>
  </si>
  <si>
    <t>Other reserves</t>
  </si>
  <si>
    <t>Net cash flow from operating activities</t>
  </si>
  <si>
    <t>Tangible Assets</t>
  </si>
  <si>
    <t>Cash at Bank</t>
  </si>
  <si>
    <t>Investments short-term</t>
  </si>
  <si>
    <t>External Loans</t>
  </si>
  <si>
    <t>Internal Loans</t>
  </si>
  <si>
    <t>Pension deficit</t>
  </si>
  <si>
    <t>Restructuting</t>
  </si>
  <si>
    <t>Share capital</t>
  </si>
  <si>
    <t>Profit and loss account to be charged to: (1 = P&amp;L account, 2 = other reserves)</t>
  </si>
  <si>
    <t>Goodwill amortisation</t>
  </si>
  <si>
    <t>Pensions - total actual within actual opex tables (including ERDC etc)</t>
  </si>
  <si>
    <t>Actual pension costs included in BPQ controllable opex</t>
  </si>
  <si>
    <t>Pension contributions: actual cash for ongoing benefits</t>
  </si>
  <si>
    <t>Total pension actuals included in BPQ - to get to actual controllable opex</t>
  </si>
  <si>
    <t>Other pension costs - PPF &amp; DC contributions</t>
  </si>
  <si>
    <t>Total capex impact</t>
  </si>
  <si>
    <t>Total expensed repex impact</t>
  </si>
  <si>
    <t>Total capitalised repex impact</t>
  </si>
  <si>
    <t>Change in other capex and repex (total impact)</t>
  </si>
  <si>
    <t>Other pension costs - Admin, PPF &amp; DC contributions</t>
  </si>
  <si>
    <t>Other Pensions cost - DC, Admin, PPF</t>
  </si>
  <si>
    <t>Pensions (ongoing, DB scheme)</t>
  </si>
  <si>
    <t>Pensions (allowance including admin, DC and PPF)</t>
  </si>
  <si>
    <t>Pension costs - other excluded from ongoing DB (DC, Admin, PPF)</t>
  </si>
  <si>
    <t>Profit on disposal of fixed assets (for cash flow)</t>
  </si>
  <si>
    <t>Additional detail for cash flow</t>
  </si>
  <si>
    <t>Less Profit/(Add Loss) on disposal of fixed assets</t>
  </si>
  <si>
    <t>Decrease / (increase) in stocks</t>
  </si>
  <si>
    <t>Decrease / (increase) in trade debtors</t>
  </si>
  <si>
    <t>Decrease / (increase) in other debtors</t>
  </si>
  <si>
    <t>Increase / (decrease) in trade creditors</t>
  </si>
  <si>
    <t>Increase / (decrease) in provisions</t>
  </si>
  <si>
    <t>Allowed revenue after profiling</t>
  </si>
  <si>
    <t>Total - adjustments for changes in costs, tax and return on capital</t>
  </si>
  <si>
    <t>Total - adjustments for changes in costs, tax, return on capital and modelling</t>
  </si>
  <si>
    <t>Impact of change in return on capital</t>
  </si>
  <si>
    <t>60% expensed</t>
  </si>
  <si>
    <t>Total allowed revenue before profiling</t>
  </si>
  <si>
    <t>06-07</t>
  </si>
  <si>
    <t>07-08</t>
  </si>
  <si>
    <t>08-09</t>
  </si>
  <si>
    <t>2007/08 inputs pre-RAV roll forward changes</t>
  </si>
  <si>
    <t>09-10</t>
  </si>
  <si>
    <t>10-11</t>
  </si>
  <si>
    <t>11-12</t>
  </si>
  <si>
    <t>12-13</t>
  </si>
  <si>
    <t>Allowed RAV for calculating annual returns: opening value bf</t>
  </si>
  <si>
    <t>Pot 3 gross opening balance</t>
  </si>
  <si>
    <t>Sum of depreciation factors 2002-03 to 2006-07</t>
  </si>
  <si>
    <t>Total allowance to add to Pot 3 recovery as a proportion of 2002 allocated RAV</t>
  </si>
  <si>
    <t>Pre tax WACC</t>
  </si>
  <si>
    <t>Total 08-09 to 12-13</t>
  </si>
  <si>
    <t xml:space="preserve">Total Net Capex </t>
  </si>
  <si>
    <t>Debt interest levels - nominal for P&amp;L interest calcs</t>
  </si>
  <si>
    <t>Debt interest levels -  for cash flow: weighted for % of IL debt</t>
  </si>
  <si>
    <t>Efficiency Incentive</t>
  </si>
  <si>
    <t>Additional income</t>
  </si>
  <si>
    <t>Rewards &amp; Penalties</t>
  </si>
  <si>
    <t>Allowed expenditure</t>
  </si>
  <si>
    <t>Actual Exp</t>
  </si>
  <si>
    <t>Matrix check</t>
  </si>
  <si>
    <t>Efficiency (Bid 100)</t>
  </si>
  <si>
    <t>Increment</t>
  </si>
  <si>
    <t>Allowed capex (Bid 100)</t>
  </si>
  <si>
    <t>Allowed revenue (Bid 100)</t>
  </si>
  <si>
    <t>Implied allowed revenue (Bid 0)</t>
  </si>
  <si>
    <t>Profit on disposal of fixed assets</t>
  </si>
  <si>
    <t>Pensions (deficit) / surplus</t>
  </si>
  <si>
    <t>Implied allowed capex (Bid 0)</t>
  </si>
  <si>
    <t>Revenue adjustment (Bid 0)</t>
  </si>
  <si>
    <t>Start</t>
  </si>
  <si>
    <t>Interval</t>
  </si>
  <si>
    <t>Bid</t>
  </si>
  <si>
    <t>Efficiency</t>
  </si>
  <si>
    <t>Allowed income A</t>
  </si>
  <si>
    <t>dA/dX at X = r</t>
  </si>
  <si>
    <t xml:space="preserve">Check: </t>
  </si>
  <si>
    <t>Additional income from high bidding</t>
  </si>
  <si>
    <t>Rate of change of additional income under efficiency incentive</t>
  </si>
  <si>
    <t>Period (years) over which pot 2 depreciation is transferred to RAV</t>
  </si>
  <si>
    <t>Net Capital expenditure allowance</t>
  </si>
  <si>
    <t>P0 breakdown by GDN</t>
  </si>
  <si>
    <t>Actual tax allowance</t>
  </si>
  <si>
    <t>Allowed revenue row 25</t>
  </si>
  <si>
    <t>Tax allowance based on 6.25% nominal interest and 60% gearing</t>
  </si>
  <si>
    <t>Main control tax adjustment</t>
  </si>
  <si>
    <t>2007/08 tax allowance</t>
  </si>
  <si>
    <t>Spread over main control</t>
  </si>
  <si>
    <t>NPV</t>
  </si>
  <si>
    <t>Cash flow from exceptional items</t>
  </si>
  <si>
    <t>Add back amortisation</t>
  </si>
  <si>
    <t>Add back depreciation</t>
  </si>
  <si>
    <t>Pension deficit contributions</t>
  </si>
  <si>
    <t>Nominal capx for cash flow</t>
  </si>
  <si>
    <t>Disposal of fixed assets</t>
  </si>
  <si>
    <t>Investment in fixed assets</t>
  </si>
  <si>
    <t>Nominal disposals for cash flow</t>
  </si>
  <si>
    <t>(Decrease)/Increase in external financing</t>
  </si>
  <si>
    <t>Financing assumptions:</t>
  </si>
  <si>
    <t>Target cash balance</t>
  </si>
  <si>
    <t>Preferred financing of difference (1 = short-term borrowing, 2 = long-term borrowing)</t>
  </si>
  <si>
    <t>Implied book value of disposed assets</t>
  </si>
  <si>
    <t>Increase / (decrease) in other long-term creditors</t>
  </si>
  <si>
    <t>Increase / (decrease) in other short-term creditors</t>
  </si>
  <si>
    <t>does the balance sheet balance?</t>
  </si>
  <si>
    <t>Debt/RAV</t>
  </si>
  <si>
    <t>Real cost of equity</t>
  </si>
  <si>
    <t>Other tax adjustments</t>
  </si>
  <si>
    <t>Tax adjustments</t>
  </si>
  <si>
    <t>Trade Debtors</t>
  </si>
  <si>
    <t>Other debtors</t>
  </si>
  <si>
    <t>Borrowings</t>
  </si>
  <si>
    <t xml:space="preserve"> - External loans </t>
  </si>
  <si>
    <t xml:space="preserve"> - Loans due to other Group companies</t>
  </si>
  <si>
    <t>- Trade Creditors</t>
  </si>
  <si>
    <t>- Other</t>
  </si>
  <si>
    <t xml:space="preserve"> - Other</t>
  </si>
  <si>
    <t xml:space="preserve"> Provisions for liabilities and charges</t>
  </si>
  <si>
    <t>Deferred tax provision</t>
  </si>
  <si>
    <t>Current tax provision</t>
  </si>
  <si>
    <t>All prices are £m in Nominal terms</t>
  </si>
  <si>
    <t>Shrinkage: actual with price adjustment to median for FY06-08</t>
  </si>
  <si>
    <t>Shrinkage for allowance - forecasts adjusted to consistent therm price</t>
  </si>
  <si>
    <t>Total - adjustments for changes in costs</t>
  </si>
  <si>
    <t>Profiling option</t>
  </si>
  <si>
    <t>Fixed strength</t>
  </si>
  <si>
    <t>Check v. closing bal. on real method</t>
  </si>
  <si>
    <t>RPI factors for opening RAV</t>
  </si>
  <si>
    <t>Regulatory indexation allowance</t>
  </si>
  <si>
    <t>Indexation</t>
  </si>
  <si>
    <t>Indexation on depreciation</t>
  </si>
  <si>
    <t>Indexations</t>
  </si>
  <si>
    <t>Indexation allowance on depreciation</t>
  </si>
  <si>
    <t>Unwind of capex incentive penalty (pot 2)</t>
  </si>
  <si>
    <t>Change in return on capital</t>
  </si>
  <si>
    <t>Revised opening balance</t>
  </si>
  <si>
    <t>Year ending 31 March</t>
  </si>
  <si>
    <t>Period start date</t>
  </si>
  <si>
    <t>Turnover</t>
  </si>
  <si>
    <t>Depreciation</t>
  </si>
  <si>
    <t>Profit before tax</t>
  </si>
  <si>
    <t>Deferred tax</t>
  </si>
  <si>
    <t>Profit after tax</t>
  </si>
  <si>
    <t>Retained profit or loss for the year</t>
  </si>
  <si>
    <t>Operating cash flow</t>
  </si>
  <si>
    <t>Operating profit</t>
  </si>
  <si>
    <t>Returns on investments &amp; servicing of finance</t>
  </si>
  <si>
    <t>Net interest paid</t>
  </si>
  <si>
    <t>Dividends paid</t>
  </si>
  <si>
    <t>Taxation</t>
  </si>
  <si>
    <t>Tax paid</t>
  </si>
  <si>
    <t>Capital expenditure &amp; financial investment</t>
  </si>
  <si>
    <t>5 year total</t>
  </si>
  <si>
    <t>half a year vs compounded growth - links to net RAV additions</t>
  </si>
  <si>
    <t>GENERAL INPUTS: based on Ofgem view = 100</t>
  </si>
  <si>
    <t>DNO:Ofgem Ratio</t>
  </si>
  <si>
    <t>Current assets</t>
  </si>
  <si>
    <t>Opening Indexation compared to Transco control RAV</t>
  </si>
  <si>
    <t>Clos ing Indexation compared to Transco control RAV</t>
  </si>
  <si>
    <t>Opening Indexation compared to 2005/06 Average RAV</t>
  </si>
  <si>
    <t>Closing indexation compared to 2005/06 Average RAV</t>
  </si>
  <si>
    <t>Indexation adjustment equal to closing RPI less opening RPI</t>
  </si>
  <si>
    <t>Net cash flow before financing</t>
  </si>
  <si>
    <t>Financing</t>
  </si>
  <si>
    <t>Issue or redeem equity</t>
  </si>
  <si>
    <t>Tangible assets</t>
  </si>
  <si>
    <t>"Flying boxes (average X): visual presentation of breakdown</t>
  </si>
  <si>
    <t>Cost of debt (real, pre tax)</t>
  </si>
  <si>
    <t>Cost of equity (real, post tax)</t>
  </si>
  <si>
    <t>Cost of debt (Real) %</t>
  </si>
  <si>
    <t>Cost of equity (Real), %</t>
  </si>
  <si>
    <t xml:space="preserve">Capital allowances </t>
  </si>
  <si>
    <t>Capital allowances</t>
  </si>
  <si>
    <r>
      <t xml:space="preserve">Total </t>
    </r>
    <r>
      <rPr>
        <b/>
        <sz val="11"/>
        <rFont val="Verdana"/>
        <family val="2"/>
      </rPr>
      <t xml:space="preserve">Ofgem </t>
    </r>
    <r>
      <rPr>
        <sz val="11"/>
        <rFont val="Verdana"/>
        <family val="2"/>
      </rPr>
      <t xml:space="preserve">capex and repex excl LTS capex and risers: for IQI </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</si>
</sst>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yyyy"/>
    <numFmt numFmtId="168" formatCode="#,##0.0"/>
    <numFmt numFmtId="169" formatCode="0.0_ ;[Red]\-0.0\ "/>
    <numFmt numFmtId="170" formatCode="#,##0.0_ ;[Red]\-#,##0.0\ "/>
    <numFmt numFmtId="171" formatCode="#,##0.0;\(#,##0.0\)"/>
    <numFmt numFmtId="172" formatCode="0.0;\(0.0\)"/>
    <numFmt numFmtId="173" formatCode="0.0;\(0.0\);\ "/>
    <numFmt numFmtId="174" formatCode="0.000000"/>
    <numFmt numFmtId="175" formatCode="0.0%;[Red]\(0.0%\)"/>
    <numFmt numFmtId="176" formatCode="&quot;£&quot;#,##0.0\ &quot;m&quot;"/>
    <numFmt numFmtId="177" formatCode="0.000%"/>
    <numFmt numFmtId="178" formatCode="0.0000%"/>
    <numFmt numFmtId="179" formatCode="0.0%;\(0.0%\);&quot;&quot;"/>
    <numFmt numFmtId="180" formatCode="#,##0.000000"/>
    <numFmt numFmtId="181" formatCode="0.0000"/>
    <numFmt numFmtId="182" formatCode="0.00000"/>
    <numFmt numFmtId="183" formatCode="&quot;£&quot;#,##0.0"/>
    <numFmt numFmtId="184" formatCode="0.0%;0.0%;;"/>
    <numFmt numFmtId="185" formatCode="#,##0.0000"/>
    <numFmt numFmtId="186" formatCode="&quot;£&quot;#,##0.00"/>
    <numFmt numFmtId="187" formatCode="#,##0.000"/>
    <numFmt numFmtId="188" formatCode="0.0%;0.0%;\ ;\ "/>
    <numFmt numFmtId="189" formatCode="0.00\x"/>
    <numFmt numFmtId="190" formatCode="0.0000000000"/>
    <numFmt numFmtId="191" formatCode="&quot;£&quot;#,##0.000;[Red]\-&quot;£&quot;#,##0.000"/>
    <numFmt numFmtId="192" formatCode="0.0000%;[Red]\(0.0000%\)"/>
    <numFmt numFmtId="193" formatCode="_-&quot;£&quot;* #,##0.0_-;\-&quot;£&quot;* #,##0.0_-;_-&quot;£&quot;* &quot;-&quot;??_-;_-@_-"/>
    <numFmt numFmtId="194" formatCode="_-&quot;£&quot;* #,##0_-;\-&quot;£&quot;* #,##0_-;_-&quot;£&quot;* &quot;-&quot;??_-;_-@_-"/>
    <numFmt numFmtId="195" formatCode="0.0000000"/>
    <numFmt numFmtId="196" formatCode="\+0.00"/>
    <numFmt numFmtId="197" formatCode="_-&quot;£&quot;* #,##0.0000_-;\-&quot;£&quot;* #,##0.0000_-;_-&quot;£&quot;* &quot;-&quot;??_-;_-@_-"/>
    <numFmt numFmtId="198" formatCode="0.00000%"/>
    <numFmt numFmtId="199" formatCode="0.000000000"/>
    <numFmt numFmtId="200" formatCode="_-&quot;£&quot;* #,##0.000_-;\-&quot;£&quot;* #,##0.000_-;_-&quot;£&quot;* &quot;-&quot;??_-;_-@_-"/>
    <numFmt numFmtId="201" formatCode="_-&quot;£&quot;* #,##0.00000_-;\-&quot;£&quot;* #,##0.00000_-;_-&quot;£&quot;* &quot;-&quot;??_-;_-@_-"/>
    <numFmt numFmtId="202" formatCode="0.00%;[Red]\(0.00%\)"/>
    <numFmt numFmtId="203" formatCode="0.00%;0.00%;\ ;\ "/>
    <numFmt numFmtId="204" formatCode="0.00000000000000%"/>
    <numFmt numFmtId="205" formatCode="&quot;Yes&quot;;&quot;Yes&quot;;&quot;No&quot;"/>
    <numFmt numFmtId="206" formatCode="&quot;True&quot;;&quot;True&quot;;&quot;False&quot;"/>
    <numFmt numFmtId="207" formatCode="&quot;On&quot;;&quot;On&quot;;&quot;Off&quot;"/>
    <numFmt numFmtId="208" formatCode="[$€-2]\ #,##0.00_);[Red]\([$€-2]\ #,##0.00\)"/>
    <numFmt numFmtId="209" formatCode="0.00000000"/>
    <numFmt numFmtId="210" formatCode="#,##0;\-#,##0;\-"/>
    <numFmt numFmtId="211" formatCode="#,##0.0;\-#,##0.0;\-"/>
    <numFmt numFmtId="212" formatCode="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
    <numFmt numFmtId="221" formatCode="0.00%;\(0.00%\);\-;"/>
    <numFmt numFmtId="222" formatCode="0.000%;\(0.000%\);\-;"/>
    <numFmt numFmtId="223" formatCode="#,##0.00_ ;[Red]\-#,##0.00\ "/>
    <numFmt numFmtId="224" formatCode="#,##0.000_ ;[Red]\-#,##0.000\ "/>
    <numFmt numFmtId="225" formatCode="#,##0.0000_ ;[Red]\-#,##0.0000\ "/>
  </numFmts>
  <fonts count="49">
    <font>
      <sz val="11"/>
      <name val="CG Omega"/>
      <family val="0"/>
    </font>
    <font>
      <sz val="8"/>
      <name val="CG Omega"/>
      <family val="0"/>
    </font>
    <font>
      <u val="single"/>
      <sz val="11"/>
      <color indexed="48"/>
      <name val="CG Omega"/>
      <family val="0"/>
    </font>
    <font>
      <sz val="10"/>
      <name val="Arial"/>
      <family val="0"/>
    </font>
    <font>
      <i/>
      <sz val="10"/>
      <color indexed="10"/>
      <name val="Arial"/>
      <family val="0"/>
    </font>
    <font>
      <b/>
      <sz val="11"/>
      <name val="CG Omega"/>
      <family val="2"/>
    </font>
    <font>
      <i/>
      <sz val="11"/>
      <name val="CG Omega"/>
      <family val="2"/>
    </font>
    <font>
      <sz val="8"/>
      <name val="Tahoma"/>
      <family val="0"/>
    </font>
    <font>
      <b/>
      <sz val="8"/>
      <name val="Tahoma"/>
      <family val="0"/>
    </font>
    <font>
      <u val="single"/>
      <sz val="11"/>
      <color indexed="12"/>
      <name val="CG Omega"/>
      <family val="0"/>
    </font>
    <font>
      <u val="single"/>
      <sz val="11"/>
      <color indexed="36"/>
      <name val="CG Omega"/>
      <family val="0"/>
    </font>
    <font>
      <b/>
      <sz val="11"/>
      <color indexed="10"/>
      <name val="CG Omega"/>
      <family val="2"/>
    </font>
    <font>
      <b/>
      <u val="single"/>
      <sz val="11"/>
      <color indexed="10"/>
      <name val="CG Omega"/>
      <family val="2"/>
    </font>
    <font>
      <sz val="8"/>
      <color indexed="53"/>
      <name val="CG Omega"/>
      <family val="0"/>
    </font>
    <font>
      <b/>
      <sz val="10"/>
      <name val="Verdana"/>
      <family val="2"/>
    </font>
    <font>
      <sz val="10"/>
      <name val="Verdana"/>
      <family val="2"/>
    </font>
    <font>
      <sz val="11"/>
      <name val="Verdana"/>
      <family val="2"/>
    </font>
    <font>
      <b/>
      <sz val="24"/>
      <name val="Verdana"/>
      <family val="2"/>
    </font>
    <font>
      <b/>
      <sz val="11"/>
      <color indexed="10"/>
      <name val="Verdana"/>
      <family val="2"/>
    </font>
    <font>
      <b/>
      <sz val="11"/>
      <name val="Verdana"/>
      <family val="2"/>
    </font>
    <font>
      <i/>
      <sz val="11"/>
      <color indexed="22"/>
      <name val="Verdana"/>
      <family val="2"/>
    </font>
    <font>
      <u val="single"/>
      <sz val="11"/>
      <color indexed="48"/>
      <name val="Verdana"/>
      <family val="2"/>
    </font>
    <font>
      <i/>
      <sz val="11"/>
      <color indexed="10"/>
      <name val="Verdana"/>
      <family val="2"/>
    </font>
    <font>
      <i/>
      <sz val="10"/>
      <color indexed="10"/>
      <name val="Verdana"/>
      <family val="2"/>
    </font>
    <font>
      <u val="single"/>
      <sz val="11"/>
      <color indexed="12"/>
      <name val="Verdana"/>
      <family val="2"/>
    </font>
    <font>
      <i/>
      <sz val="11"/>
      <name val="Verdana"/>
      <family val="2"/>
    </font>
    <font>
      <sz val="11"/>
      <color indexed="10"/>
      <name val="Verdana"/>
      <family val="2"/>
    </font>
    <font>
      <b/>
      <u val="single"/>
      <sz val="11"/>
      <color indexed="10"/>
      <name val="Verdana"/>
      <family val="2"/>
    </font>
    <font>
      <b/>
      <sz val="16"/>
      <name val="Verdana"/>
      <family val="2"/>
    </font>
    <font>
      <sz val="8"/>
      <name val="Verdana"/>
      <family val="2"/>
    </font>
    <font>
      <b/>
      <i/>
      <u val="single"/>
      <sz val="11"/>
      <color indexed="10"/>
      <name val="Verdana"/>
      <family val="2"/>
    </font>
    <font>
      <b/>
      <sz val="26"/>
      <color indexed="12"/>
      <name val="Verdana"/>
      <family val="2"/>
    </font>
    <font>
      <sz val="10"/>
      <color indexed="8"/>
      <name val="Verdana"/>
      <family val="2"/>
    </font>
    <font>
      <sz val="10"/>
      <color indexed="10"/>
      <name val="Verdana"/>
      <family val="2"/>
    </font>
    <font>
      <b/>
      <i/>
      <sz val="11"/>
      <name val="Verdana"/>
      <family val="2"/>
    </font>
    <font>
      <b/>
      <sz val="14"/>
      <name val="Verdana"/>
      <family val="2"/>
    </font>
    <font>
      <b/>
      <sz val="10"/>
      <color indexed="12"/>
      <name val="Verdana"/>
      <family val="2"/>
    </font>
    <font>
      <sz val="10"/>
      <color indexed="12"/>
      <name val="Verdana"/>
      <family val="2"/>
    </font>
    <font>
      <sz val="8.5"/>
      <name val="Verdana"/>
      <family val="2"/>
    </font>
    <font>
      <b/>
      <sz val="24"/>
      <color indexed="12"/>
      <name val="Verdana"/>
      <family val="2"/>
    </font>
    <font>
      <b/>
      <sz val="11"/>
      <color indexed="9"/>
      <name val="Verdana"/>
      <family val="2"/>
    </font>
    <font>
      <b/>
      <sz val="11"/>
      <color indexed="48"/>
      <name val="Verdana"/>
      <family val="2"/>
    </font>
    <font>
      <b/>
      <u val="single"/>
      <sz val="11"/>
      <name val="Verdana"/>
      <family val="2"/>
    </font>
    <font>
      <sz val="8"/>
      <color indexed="12"/>
      <name val="Verdana"/>
      <family val="2"/>
    </font>
    <font>
      <i/>
      <sz val="8"/>
      <color indexed="10"/>
      <name val="Verdana"/>
      <family val="2"/>
    </font>
    <font>
      <u val="single"/>
      <sz val="10"/>
      <color indexed="48"/>
      <name val="Verdana"/>
      <family val="2"/>
    </font>
    <font>
      <i/>
      <sz val="10"/>
      <name val="Verdana"/>
      <family val="2"/>
    </font>
    <font>
      <sz val="8"/>
      <color indexed="53"/>
      <name val="Verdana"/>
      <family val="2"/>
    </font>
    <font>
      <b/>
      <sz val="8"/>
      <name val="CG Omega"/>
      <family val="2"/>
    </font>
  </fonts>
  <fills count="14">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65"/>
        <bgColor indexed="64"/>
      </patternFill>
    </fill>
    <fill>
      <patternFill patternType="solid">
        <fgColor indexed="41"/>
        <bgColor indexed="64"/>
      </patternFill>
    </fill>
    <fill>
      <patternFill patternType="solid">
        <fgColor indexed="14"/>
        <bgColor indexed="64"/>
      </patternFill>
    </fill>
    <fill>
      <patternFill patternType="solid">
        <fgColor indexed="53"/>
        <bgColor indexed="64"/>
      </patternFill>
    </fill>
    <fill>
      <patternFill patternType="solid">
        <fgColor indexed="9"/>
        <bgColor indexed="64"/>
      </patternFill>
    </fill>
  </fills>
  <borders count="31">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9">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Font="0" applyFill="0" applyBorder="0" applyAlignment="0" applyProtection="0"/>
    <xf numFmtId="0" fontId="2" fillId="2"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2" borderId="0">
      <alignment/>
      <protection/>
    </xf>
    <xf numFmtId="0" fontId="3" fillId="0" borderId="0">
      <alignment/>
      <protection/>
    </xf>
    <xf numFmtId="0" fontId="3" fillId="0" borderId="0">
      <alignment/>
      <protection/>
    </xf>
    <xf numFmtId="0" fontId="0" fillId="0" borderId="0">
      <alignment/>
      <protection/>
    </xf>
    <xf numFmtId="9" fontId="0" fillId="0" borderId="0" applyFont="0" applyFill="0" applyBorder="0" applyAlignment="0" applyProtection="0"/>
    <xf numFmtId="0" fontId="4" fillId="0" borderId="0">
      <alignment/>
      <protection/>
    </xf>
  </cellStyleXfs>
  <cellXfs count="627">
    <xf numFmtId="0" fontId="0" fillId="0" borderId="0" xfId="0" applyAlignment="1">
      <alignment/>
    </xf>
    <xf numFmtId="0" fontId="0" fillId="0" borderId="1" xfId="0" applyBorder="1" applyAlignment="1">
      <alignment/>
    </xf>
    <xf numFmtId="0" fontId="0" fillId="0" borderId="2" xfId="0" applyBorder="1" applyAlignment="1">
      <alignment/>
    </xf>
    <xf numFmtId="0" fontId="3" fillId="0" borderId="0" xfId="0" applyFont="1" applyAlignment="1">
      <alignment/>
    </xf>
    <xf numFmtId="0" fontId="0" fillId="0" borderId="0" xfId="0" applyBorder="1" applyAlignment="1">
      <alignment/>
    </xf>
    <xf numFmtId="0" fontId="0" fillId="0" borderId="3" xfId="0" applyBorder="1" applyAlignment="1">
      <alignment/>
    </xf>
    <xf numFmtId="0" fontId="5" fillId="0" borderId="0" xfId="0" applyFont="1" applyAlignment="1">
      <alignment/>
    </xf>
    <xf numFmtId="165" fontId="0" fillId="0" borderId="0" xfId="0" applyNumberFormat="1" applyAlignment="1">
      <alignment/>
    </xf>
    <xf numFmtId="2" fontId="0" fillId="0" borderId="0" xfId="0" applyNumberFormat="1" applyAlignment="1">
      <alignment/>
    </xf>
    <xf numFmtId="0" fontId="6" fillId="0" borderId="0" xfId="0" applyFont="1" applyAlignment="1">
      <alignment/>
    </xf>
    <xf numFmtId="167" fontId="0" fillId="0" borderId="1" xfId="0" applyNumberFormat="1" applyBorder="1" applyAlignment="1">
      <alignment/>
    </xf>
    <xf numFmtId="0" fontId="5" fillId="0" borderId="0" xfId="0" applyFont="1" applyBorder="1" applyAlignment="1">
      <alignment/>
    </xf>
    <xf numFmtId="0" fontId="0" fillId="0" borderId="0" xfId="0" applyFont="1" applyAlignment="1">
      <alignment/>
    </xf>
    <xf numFmtId="0" fontId="11" fillId="0" borderId="0" xfId="0" applyFont="1" applyAlignment="1">
      <alignment/>
    </xf>
    <xf numFmtId="10" fontId="0" fillId="0" borderId="0" xfId="0" applyNumberFormat="1" applyAlignment="1">
      <alignment/>
    </xf>
    <xf numFmtId="0" fontId="0" fillId="0" borderId="0" xfId="0" applyFill="1" applyBorder="1" applyAlignment="1">
      <alignment/>
    </xf>
    <xf numFmtId="0" fontId="0" fillId="0" borderId="0" xfId="0" applyFill="1" applyAlignment="1">
      <alignment/>
    </xf>
    <xf numFmtId="168" fontId="0" fillId="0" borderId="0" xfId="0" applyNumberFormat="1" applyAlignment="1">
      <alignment/>
    </xf>
    <xf numFmtId="168" fontId="0" fillId="0" borderId="4" xfId="0" applyNumberFormat="1" applyBorder="1" applyAlignment="1">
      <alignment/>
    </xf>
    <xf numFmtId="168" fontId="0" fillId="0" borderId="3" xfId="0" applyNumberFormat="1" applyBorder="1" applyAlignment="1">
      <alignment/>
    </xf>
    <xf numFmtId="168" fontId="0" fillId="0" borderId="0" xfId="0" applyNumberFormat="1" applyBorder="1" applyAlignment="1">
      <alignment/>
    </xf>
    <xf numFmtId="168" fontId="0" fillId="0" borderId="2" xfId="0" applyNumberFormat="1" applyBorder="1" applyAlignment="1">
      <alignment/>
    </xf>
    <xf numFmtId="0" fontId="12" fillId="0" borderId="0" xfId="0" applyFont="1" applyAlignment="1">
      <alignment/>
    </xf>
    <xf numFmtId="0" fontId="4" fillId="0" borderId="0" xfId="0" applyFont="1" applyAlignment="1">
      <alignment/>
    </xf>
    <xf numFmtId="165" fontId="0" fillId="0" borderId="0" xfId="0" applyNumberFormat="1" applyBorder="1" applyAlignment="1">
      <alignment/>
    </xf>
    <xf numFmtId="168" fontId="13" fillId="0" borderId="0" xfId="0" applyNumberFormat="1" applyFont="1" applyAlignment="1">
      <alignment horizontal="right"/>
    </xf>
    <xf numFmtId="0" fontId="0" fillId="0" borderId="0" xfId="0" applyAlignment="1">
      <alignment horizontal="right"/>
    </xf>
    <xf numFmtId="10" fontId="0" fillId="0" borderId="0" xfId="0" applyNumberFormat="1" applyBorder="1" applyAlignment="1">
      <alignment/>
    </xf>
    <xf numFmtId="165" fontId="0" fillId="0" borderId="2" xfId="0" applyNumberFormat="1" applyBorder="1" applyAlignment="1">
      <alignment/>
    </xf>
    <xf numFmtId="168" fontId="5" fillId="3" borderId="0" xfId="0" applyNumberFormat="1" applyFont="1" applyFill="1" applyAlignment="1">
      <alignment/>
    </xf>
    <xf numFmtId="182" fontId="0" fillId="0" borderId="0" xfId="0" applyNumberFormat="1" applyAlignment="1">
      <alignment/>
    </xf>
    <xf numFmtId="168" fontId="0" fillId="0" borderId="0" xfId="0" applyNumberFormat="1" applyAlignment="1">
      <alignment horizontal="right"/>
    </xf>
    <xf numFmtId="166" fontId="0" fillId="0" borderId="0" xfId="0" applyNumberFormat="1" applyAlignment="1">
      <alignment horizontal="right"/>
    </xf>
    <xf numFmtId="165" fontId="0" fillId="0" borderId="3" xfId="0" applyNumberFormat="1" applyBorder="1" applyAlignment="1">
      <alignment/>
    </xf>
    <xf numFmtId="165" fontId="14" fillId="0" borderId="5" xfId="15" applyNumberFormat="1" applyFont="1" applyFill="1" applyBorder="1" applyAlignment="1">
      <alignment horizontal="center" vertical="center" wrapText="1"/>
    </xf>
    <xf numFmtId="49" fontId="14" fillId="0" borderId="5" xfId="15" applyNumberFormat="1" applyFont="1" applyFill="1" applyBorder="1" applyAlignment="1">
      <alignment horizontal="center" vertical="center"/>
    </xf>
    <xf numFmtId="49" fontId="14" fillId="0" borderId="6" xfId="15" applyNumberFormat="1" applyFont="1" applyFill="1" applyBorder="1" applyAlignment="1">
      <alignment horizontal="center" vertical="center"/>
    </xf>
    <xf numFmtId="165" fontId="15" fillId="0" borderId="3" xfId="26" applyNumberFormat="1" applyFont="1" applyFill="1" applyBorder="1" applyAlignment="1">
      <alignment vertical="center"/>
      <protection/>
    </xf>
    <xf numFmtId="165" fontId="15" fillId="0" borderId="3" xfId="15" applyNumberFormat="1" applyFont="1" applyFill="1" applyBorder="1" applyAlignment="1">
      <alignment horizontal="left" vertical="center"/>
    </xf>
    <xf numFmtId="165" fontId="14" fillId="0" borderId="3" xfId="15" applyNumberFormat="1" applyFont="1" applyFill="1" applyBorder="1" applyAlignment="1">
      <alignment horizontal="left" vertical="center"/>
    </xf>
    <xf numFmtId="165" fontId="15" fillId="0" borderId="7" xfId="15" applyNumberFormat="1" applyFont="1" applyFill="1" applyBorder="1" applyAlignment="1">
      <alignment horizontal="left" vertical="center"/>
    </xf>
    <xf numFmtId="165" fontId="15" fillId="0" borderId="8" xfId="15" applyNumberFormat="1" applyFont="1" applyFill="1" applyBorder="1" applyAlignment="1">
      <alignment vertical="center" wrapText="1"/>
    </xf>
    <xf numFmtId="165" fontId="15" fillId="0" borderId="8" xfId="15" applyNumberFormat="1" applyFont="1" applyFill="1" applyBorder="1" applyAlignment="1">
      <alignment horizontal="right" vertical="center"/>
    </xf>
    <xf numFmtId="165" fontId="15" fillId="0" borderId="9" xfId="15" applyNumberFormat="1" applyFont="1" applyFill="1" applyBorder="1" applyAlignment="1">
      <alignment vertical="center" wrapText="1"/>
    </xf>
    <xf numFmtId="165" fontId="15" fillId="0" borderId="0" xfId="15" applyNumberFormat="1" applyFont="1" applyFill="1" applyBorder="1" applyAlignment="1">
      <alignment horizontal="right" vertical="center"/>
    </xf>
    <xf numFmtId="165" fontId="14" fillId="0" borderId="5" xfId="15" applyNumberFormat="1" applyFont="1" applyFill="1" applyBorder="1" applyAlignment="1">
      <alignment vertical="center" wrapText="1"/>
    </xf>
    <xf numFmtId="165" fontId="14" fillId="0" borderId="10" xfId="15" applyNumberFormat="1" applyFont="1" applyFill="1" applyBorder="1" applyAlignment="1">
      <alignment vertical="center" wrapText="1"/>
    </xf>
    <xf numFmtId="165" fontId="14" fillId="0" borderId="1" xfId="15" applyNumberFormat="1" applyFont="1" applyFill="1" applyBorder="1" applyAlignment="1">
      <alignment horizontal="right" vertical="center"/>
    </xf>
    <xf numFmtId="165" fontId="15" fillId="0" borderId="3" xfId="26" applyNumberFormat="1" applyFont="1" applyFill="1" applyBorder="1" applyAlignment="1">
      <alignment horizontal="right" vertical="center"/>
      <protection/>
    </xf>
    <xf numFmtId="165" fontId="14" fillId="0" borderId="11" xfId="15" applyNumberFormat="1" applyFont="1" applyFill="1" applyBorder="1" applyAlignment="1">
      <alignment vertical="center" wrapText="1"/>
    </xf>
    <xf numFmtId="165" fontId="14" fillId="0" borderId="8" xfId="15" applyNumberFormat="1" applyFont="1" applyFill="1" applyBorder="1" applyAlignment="1">
      <alignment horizontal="center" vertical="center" wrapText="1"/>
    </xf>
    <xf numFmtId="165" fontId="14" fillId="0" borderId="3" xfId="15" applyNumberFormat="1" applyFont="1" applyFill="1" applyBorder="1" applyAlignment="1">
      <alignment horizontal="center" vertical="center" wrapText="1"/>
    </xf>
    <xf numFmtId="165" fontId="15" fillId="0" borderId="5" xfId="15" applyNumberFormat="1" applyFont="1" applyFill="1" applyBorder="1" applyAlignment="1">
      <alignment horizontal="right" vertical="center"/>
    </xf>
    <xf numFmtId="165" fontId="14" fillId="0" borderId="5" xfId="15" applyNumberFormat="1" applyFont="1" applyFill="1" applyBorder="1" applyAlignment="1">
      <alignment horizontal="right" vertical="center"/>
    </xf>
    <xf numFmtId="165" fontId="14" fillId="0" borderId="5" xfId="26" applyNumberFormat="1" applyFont="1" applyFill="1" applyBorder="1" applyAlignment="1">
      <alignment horizontal="right" vertical="center"/>
      <protection/>
    </xf>
    <xf numFmtId="165" fontId="14" fillId="0" borderId="0" xfId="15" applyNumberFormat="1" applyFont="1" applyFill="1" applyBorder="1" applyAlignment="1">
      <alignment horizontal="center" vertical="center" wrapText="1"/>
    </xf>
    <xf numFmtId="165" fontId="14" fillId="0" borderId="0" xfId="15" applyNumberFormat="1" applyFont="1" applyFill="1" applyBorder="1" applyAlignment="1">
      <alignment horizontal="left" vertical="center"/>
    </xf>
    <xf numFmtId="165" fontId="15" fillId="0" borderId="0" xfId="15" applyNumberFormat="1" applyFont="1" applyFill="1" applyBorder="1" applyAlignment="1">
      <alignment horizontal="left" vertical="center"/>
    </xf>
    <xf numFmtId="165" fontId="15" fillId="0" borderId="0" xfId="26" applyNumberFormat="1" applyFont="1" applyFill="1" applyBorder="1" applyAlignment="1">
      <alignment vertical="center"/>
      <protection/>
    </xf>
    <xf numFmtId="165" fontId="14" fillId="0" borderId="0" xfId="15" applyNumberFormat="1" applyFont="1" applyFill="1" applyBorder="1" applyAlignment="1">
      <alignment horizontal="right" vertical="center"/>
    </xf>
    <xf numFmtId="165" fontId="15" fillId="0" borderId="0" xfId="26" applyNumberFormat="1" applyFont="1" applyFill="1" applyBorder="1" applyAlignment="1">
      <alignment horizontal="right" vertical="center"/>
      <protection/>
    </xf>
    <xf numFmtId="165" fontId="14" fillId="0" borderId="0" xfId="26" applyNumberFormat="1" applyFont="1" applyFill="1" applyBorder="1" applyAlignment="1">
      <alignment horizontal="right" vertical="center"/>
      <protection/>
    </xf>
    <xf numFmtId="165" fontId="15" fillId="4" borderId="0" xfId="15" applyNumberFormat="1" applyFont="1" applyFill="1" applyBorder="1" applyAlignment="1">
      <alignment horizontal="right" vertical="center"/>
    </xf>
    <xf numFmtId="0" fontId="16" fillId="0" borderId="0" xfId="0" applyFont="1" applyAlignment="1">
      <alignment/>
    </xf>
    <xf numFmtId="0" fontId="17" fillId="0" borderId="0" xfId="0" applyFont="1" applyAlignment="1">
      <alignment/>
    </xf>
    <xf numFmtId="0" fontId="18" fillId="0" borderId="0" xfId="0" applyFont="1" applyAlignment="1">
      <alignment/>
    </xf>
    <xf numFmtId="167" fontId="16" fillId="0" borderId="1" xfId="0" applyNumberFormat="1" applyFont="1" applyBorder="1" applyAlignment="1">
      <alignment/>
    </xf>
    <xf numFmtId="0" fontId="16" fillId="0" borderId="2" xfId="0" applyFont="1" applyBorder="1" applyAlignment="1">
      <alignment/>
    </xf>
    <xf numFmtId="0" fontId="16" fillId="0" borderId="1" xfId="0" applyFont="1" applyBorder="1" applyAlignment="1">
      <alignment/>
    </xf>
    <xf numFmtId="0" fontId="19" fillId="0" borderId="0" xfId="0" applyFont="1" applyAlignment="1">
      <alignment/>
    </xf>
    <xf numFmtId="165" fontId="16" fillId="0" borderId="0" xfId="0" applyNumberFormat="1" applyFont="1" applyAlignment="1">
      <alignment/>
    </xf>
    <xf numFmtId="0" fontId="16" fillId="0" borderId="0" xfId="0" applyFont="1" applyFill="1" applyAlignment="1">
      <alignment/>
    </xf>
    <xf numFmtId="0" fontId="16" fillId="5" borderId="0" xfId="0" applyFont="1" applyFill="1" applyAlignment="1">
      <alignment/>
    </xf>
    <xf numFmtId="0" fontId="19" fillId="5" borderId="0" xfId="0" applyFont="1" applyFill="1" applyAlignment="1">
      <alignment/>
    </xf>
    <xf numFmtId="165" fontId="19" fillId="0" borderId="0" xfId="0" applyNumberFormat="1" applyFont="1" applyAlignment="1">
      <alignment/>
    </xf>
    <xf numFmtId="166" fontId="16" fillId="0" borderId="0" xfId="0" applyNumberFormat="1" applyFont="1" applyAlignment="1">
      <alignment/>
    </xf>
    <xf numFmtId="9" fontId="16" fillId="0" borderId="0" xfId="0" applyNumberFormat="1" applyFont="1" applyFill="1" applyAlignment="1">
      <alignment/>
    </xf>
    <xf numFmtId="0" fontId="15" fillId="0" borderId="0" xfId="0" applyFont="1" applyAlignment="1">
      <alignment/>
    </xf>
    <xf numFmtId="165" fontId="16" fillId="0" borderId="0" xfId="22" applyNumberFormat="1" applyFont="1" applyAlignment="1">
      <alignment/>
    </xf>
    <xf numFmtId="0" fontId="20" fillId="0" borderId="0" xfId="0" applyFont="1" applyFill="1" applyAlignment="1">
      <alignment/>
    </xf>
    <xf numFmtId="0" fontId="19" fillId="0" borderId="0" xfId="0" applyFont="1" applyAlignment="1">
      <alignment vertical="top"/>
    </xf>
    <xf numFmtId="0" fontId="16" fillId="0" borderId="0" xfId="0" applyFont="1" applyAlignment="1">
      <alignment vertical="top"/>
    </xf>
    <xf numFmtId="10" fontId="16" fillId="0" borderId="0" xfId="0" applyNumberFormat="1" applyFont="1" applyAlignment="1">
      <alignment/>
    </xf>
    <xf numFmtId="0" fontId="14" fillId="0" borderId="6" xfId="0" applyFont="1" applyFill="1" applyBorder="1" applyAlignment="1">
      <alignment wrapText="1"/>
    </xf>
    <xf numFmtId="0" fontId="14" fillId="0" borderId="1" xfId="0" applyFont="1" applyFill="1" applyBorder="1" applyAlignment="1">
      <alignment wrapText="1"/>
    </xf>
    <xf numFmtId="0" fontId="14" fillId="0" borderId="1" xfId="0" applyFont="1" applyFill="1" applyBorder="1" applyAlignment="1">
      <alignment/>
    </xf>
    <xf numFmtId="0" fontId="14" fillId="0" borderId="10" xfId="0" applyFont="1" applyFill="1" applyBorder="1" applyAlignment="1">
      <alignment wrapText="1"/>
    </xf>
    <xf numFmtId="0" fontId="14" fillId="0" borderId="2" xfId="0" applyFont="1" applyFill="1" applyBorder="1" applyAlignment="1">
      <alignment wrapText="1"/>
    </xf>
    <xf numFmtId="0" fontId="14" fillId="0" borderId="2" xfId="0" applyFont="1" applyFill="1" applyBorder="1" applyAlignment="1">
      <alignment/>
    </xf>
    <xf numFmtId="9" fontId="16" fillId="0" borderId="0" xfId="0" applyNumberFormat="1" applyFont="1" applyAlignment="1">
      <alignment/>
    </xf>
    <xf numFmtId="10" fontId="16" fillId="0" borderId="0" xfId="0" applyNumberFormat="1" applyFont="1" applyFill="1" applyAlignment="1">
      <alignment/>
    </xf>
    <xf numFmtId="0" fontId="14" fillId="0" borderId="0" xfId="0" applyFont="1" applyFill="1" applyBorder="1" applyAlignment="1">
      <alignment wrapText="1"/>
    </xf>
    <xf numFmtId="0" fontId="14" fillId="0" borderId="0" xfId="0" applyFont="1" applyFill="1" applyBorder="1" applyAlignment="1">
      <alignment/>
    </xf>
    <xf numFmtId="166" fontId="14" fillId="0" borderId="0" xfId="0" applyNumberFormat="1" applyFont="1" applyFill="1" applyBorder="1" applyAlignment="1">
      <alignment/>
    </xf>
    <xf numFmtId="0" fontId="16" fillId="0" borderId="8" xfId="0" applyFont="1" applyFill="1" applyBorder="1" applyAlignment="1">
      <alignment/>
    </xf>
    <xf numFmtId="0" fontId="16" fillId="0" borderId="3" xfId="0" applyFont="1" applyFill="1" applyBorder="1" applyAlignment="1">
      <alignment/>
    </xf>
    <xf numFmtId="0" fontId="16" fillId="0" borderId="7" xfId="0" applyFont="1" applyBorder="1" applyAlignment="1">
      <alignment/>
    </xf>
    <xf numFmtId="0" fontId="16" fillId="0" borderId="9" xfId="0" applyFont="1" applyFill="1" applyBorder="1" applyAlignment="1">
      <alignment/>
    </xf>
    <xf numFmtId="0" fontId="16" fillId="0" borderId="0" xfId="0" applyFont="1" applyFill="1" applyBorder="1" applyAlignment="1">
      <alignment/>
    </xf>
    <xf numFmtId="0" fontId="16" fillId="0" borderId="10" xfId="0" applyFont="1" applyFill="1" applyBorder="1" applyAlignment="1">
      <alignment/>
    </xf>
    <xf numFmtId="0" fontId="16" fillId="0" borderId="2" xfId="0" applyFont="1" applyFill="1" applyBorder="1" applyAlignment="1">
      <alignment/>
    </xf>
    <xf numFmtId="0" fontId="16" fillId="0" borderId="12" xfId="0" applyFont="1" applyBorder="1" applyAlignment="1">
      <alignment/>
    </xf>
    <xf numFmtId="14" fontId="21" fillId="3" borderId="0" xfId="23" applyNumberFormat="1" applyFont="1" applyFill="1">
      <alignment/>
      <protection/>
    </xf>
    <xf numFmtId="0" fontId="22" fillId="0" borderId="0" xfId="0" applyFont="1" applyAlignment="1">
      <alignment/>
    </xf>
    <xf numFmtId="0" fontId="21" fillId="3" borderId="0" xfId="23" applyFont="1" applyFill="1">
      <alignment/>
      <protection/>
    </xf>
    <xf numFmtId="0" fontId="21" fillId="6" borderId="0" xfId="23" applyFont="1" applyFill="1">
      <alignment/>
      <protection/>
    </xf>
    <xf numFmtId="2" fontId="21" fillId="6" borderId="0" xfId="23" applyNumberFormat="1" applyFont="1" applyFill="1">
      <alignment/>
      <protection/>
    </xf>
    <xf numFmtId="10" fontId="21" fillId="2" borderId="0" xfId="23" applyNumberFormat="1" applyFont="1">
      <alignment/>
      <protection/>
    </xf>
    <xf numFmtId="10" fontId="21" fillId="3" borderId="0" xfId="23" applyNumberFormat="1" applyFont="1" applyFill="1">
      <alignment/>
      <protection/>
    </xf>
    <xf numFmtId="164" fontId="21" fillId="6" borderId="0" xfId="23" applyNumberFormat="1" applyFont="1" applyFill="1">
      <alignment/>
      <protection/>
    </xf>
    <xf numFmtId="0" fontId="14" fillId="0" borderId="0" xfId="0" applyFont="1" applyAlignment="1">
      <alignment/>
    </xf>
    <xf numFmtId="9" fontId="21" fillId="3" borderId="0" xfId="23" applyNumberFormat="1" applyFont="1" applyFill="1">
      <alignment/>
      <protection/>
    </xf>
    <xf numFmtId="166" fontId="21" fillId="6" borderId="0" xfId="23" applyNumberFormat="1" applyFont="1" applyFill="1">
      <alignment/>
      <protection/>
    </xf>
    <xf numFmtId="166" fontId="21" fillId="0" borderId="0" xfId="23" applyNumberFormat="1" applyFont="1" applyFill="1">
      <alignment/>
      <protection/>
    </xf>
    <xf numFmtId="166" fontId="21" fillId="3" borderId="0" xfId="23" applyNumberFormat="1" applyFont="1" applyFill="1">
      <alignment/>
      <protection/>
    </xf>
    <xf numFmtId="177" fontId="21" fillId="0" borderId="0" xfId="23" applyNumberFormat="1" applyFont="1" applyFill="1">
      <alignment/>
      <protection/>
    </xf>
    <xf numFmtId="165" fontId="21" fillId="5" borderId="0" xfId="23" applyNumberFormat="1" applyFont="1" applyFill="1">
      <alignment/>
      <protection/>
    </xf>
    <xf numFmtId="165" fontId="21" fillId="2" borderId="0" xfId="23" applyNumberFormat="1" applyFont="1">
      <alignment/>
      <protection/>
    </xf>
    <xf numFmtId="165" fontId="21" fillId="6" borderId="0" xfId="23" applyNumberFormat="1" applyFont="1" applyFill="1">
      <alignment/>
      <protection/>
    </xf>
    <xf numFmtId="165" fontId="21" fillId="4" borderId="0" xfId="23" applyNumberFormat="1" applyFont="1" applyFill="1">
      <alignment/>
      <protection/>
    </xf>
    <xf numFmtId="165" fontId="21" fillId="7" borderId="0" xfId="23" applyNumberFormat="1" applyFont="1" applyFill="1">
      <alignment/>
      <protection/>
    </xf>
    <xf numFmtId="0" fontId="15" fillId="0" borderId="0" xfId="0" applyFont="1" applyFill="1" applyAlignment="1">
      <alignment/>
    </xf>
    <xf numFmtId="0" fontId="14" fillId="0" borderId="0" xfId="0" applyFont="1" applyFill="1" applyAlignment="1">
      <alignment/>
    </xf>
    <xf numFmtId="0" fontId="23" fillId="0" borderId="0" xfId="0" applyFont="1" applyAlignment="1">
      <alignment/>
    </xf>
    <xf numFmtId="165" fontId="21" fillId="0" borderId="0" xfId="23" applyNumberFormat="1" applyFont="1" applyFill="1">
      <alignment/>
      <protection/>
    </xf>
    <xf numFmtId="165" fontId="16" fillId="0" borderId="0" xfId="0" applyNumberFormat="1" applyFont="1" applyAlignment="1">
      <alignment horizontal="right"/>
    </xf>
    <xf numFmtId="166" fontId="21" fillId="5" borderId="0" xfId="23" applyNumberFormat="1" applyFont="1" applyFill="1">
      <alignment/>
      <protection/>
    </xf>
    <xf numFmtId="2" fontId="21" fillId="5" borderId="0" xfId="23" applyNumberFormat="1" applyFont="1" applyFill="1">
      <alignment/>
      <protection/>
    </xf>
    <xf numFmtId="1" fontId="16" fillId="0" borderId="0" xfId="0" applyNumberFormat="1" applyFont="1" applyAlignment="1">
      <alignment/>
    </xf>
    <xf numFmtId="0" fontId="16" fillId="0" borderId="0" xfId="0" applyFont="1" applyBorder="1" applyAlignment="1">
      <alignment/>
    </xf>
    <xf numFmtId="0" fontId="15" fillId="0" borderId="0" xfId="0" applyFont="1" applyAlignment="1">
      <alignment horizontal="left"/>
    </xf>
    <xf numFmtId="165" fontId="15" fillId="0" borderId="0" xfId="0" applyNumberFormat="1" applyFont="1" applyAlignment="1">
      <alignment/>
    </xf>
    <xf numFmtId="0" fontId="24" fillId="0" borderId="0" xfId="22" applyFont="1" applyAlignment="1">
      <alignment/>
    </xf>
    <xf numFmtId="10" fontId="16" fillId="0" borderId="0" xfId="27" applyNumberFormat="1" applyFont="1" applyAlignment="1">
      <alignment/>
    </xf>
    <xf numFmtId="0" fontId="25" fillId="0" borderId="0" xfId="0" applyFont="1" applyAlignment="1">
      <alignment/>
    </xf>
    <xf numFmtId="165" fontId="26" fillId="0" borderId="0" xfId="0" applyNumberFormat="1" applyFont="1" applyAlignment="1">
      <alignment/>
    </xf>
    <xf numFmtId="166" fontId="16" fillId="0" borderId="0" xfId="27" applyNumberFormat="1" applyFont="1" applyAlignment="1">
      <alignment/>
    </xf>
    <xf numFmtId="165" fontId="26" fillId="0" borderId="0" xfId="0" applyNumberFormat="1" applyFont="1" applyFill="1" applyAlignment="1">
      <alignment/>
    </xf>
    <xf numFmtId="0" fontId="27" fillId="0" borderId="0" xfId="0" applyFont="1" applyAlignment="1">
      <alignment/>
    </xf>
    <xf numFmtId="166" fontId="16" fillId="0" borderId="0" xfId="27" applyNumberFormat="1" applyFont="1" applyFill="1" applyAlignment="1">
      <alignment/>
    </xf>
    <xf numFmtId="166" fontId="16" fillId="0" borderId="0" xfId="27" applyNumberFormat="1" applyFont="1" applyFill="1" applyBorder="1" applyAlignment="1">
      <alignment/>
    </xf>
    <xf numFmtId="165" fontId="26" fillId="0" borderId="0" xfId="0" applyNumberFormat="1" applyFont="1" applyFill="1" applyBorder="1" applyAlignment="1">
      <alignment/>
    </xf>
    <xf numFmtId="165" fontId="16" fillId="0" borderId="0" xfId="0" applyNumberFormat="1" applyFont="1" applyFill="1" applyBorder="1" applyAlignment="1">
      <alignment/>
    </xf>
    <xf numFmtId="168" fontId="16" fillId="0" borderId="0" xfId="0" applyNumberFormat="1" applyFont="1" applyAlignment="1">
      <alignment/>
    </xf>
    <xf numFmtId="168" fontId="16" fillId="0" borderId="0" xfId="0" applyNumberFormat="1" applyFont="1" applyFill="1" applyBorder="1" applyAlignment="1">
      <alignment/>
    </xf>
    <xf numFmtId="9" fontId="16" fillId="0" borderId="0" xfId="27" applyFont="1" applyFill="1" applyAlignment="1">
      <alignment/>
    </xf>
    <xf numFmtId="168" fontId="16" fillId="0" borderId="3" xfId="0" applyNumberFormat="1" applyFont="1" applyBorder="1" applyAlignment="1">
      <alignment/>
    </xf>
    <xf numFmtId="4" fontId="16" fillId="3" borderId="0" xfId="0" applyNumberFormat="1" applyFont="1" applyFill="1" applyAlignment="1">
      <alignment/>
    </xf>
    <xf numFmtId="4" fontId="16" fillId="0" borderId="0" xfId="0" applyNumberFormat="1" applyFont="1" applyFill="1" applyBorder="1" applyAlignment="1">
      <alignment/>
    </xf>
    <xf numFmtId="187" fontId="16" fillId="0" borderId="0" xfId="0" applyNumberFormat="1" applyFont="1" applyFill="1" applyBorder="1" applyAlignment="1">
      <alignment/>
    </xf>
    <xf numFmtId="168" fontId="16" fillId="0" borderId="0" xfId="0" applyNumberFormat="1" applyFont="1" applyBorder="1" applyAlignment="1">
      <alignment/>
    </xf>
    <xf numFmtId="165" fontId="16" fillId="0" borderId="0" xfId="0" applyNumberFormat="1" applyFont="1" applyBorder="1" applyAlignment="1">
      <alignment/>
    </xf>
    <xf numFmtId="168" fontId="16" fillId="0" borderId="4" xfId="0" applyNumberFormat="1" applyFont="1" applyBorder="1" applyAlignment="1">
      <alignment/>
    </xf>
    <xf numFmtId="177" fontId="16" fillId="0" borderId="0" xfId="27" applyNumberFormat="1" applyFont="1" applyFill="1" applyAlignment="1">
      <alignment/>
    </xf>
    <xf numFmtId="43" fontId="16" fillId="0" borderId="0" xfId="17" applyFont="1" applyFill="1" applyAlignment="1">
      <alignment/>
    </xf>
    <xf numFmtId="0" fontId="16" fillId="0" borderId="8" xfId="0" applyFont="1" applyBorder="1" applyAlignment="1">
      <alignment/>
    </xf>
    <xf numFmtId="166" fontId="16" fillId="0" borderId="3" xfId="0" applyNumberFormat="1" applyFont="1" applyBorder="1" applyAlignment="1">
      <alignment/>
    </xf>
    <xf numFmtId="166" fontId="16" fillId="0" borderId="3" xfId="27" applyNumberFormat="1" applyFont="1" applyFill="1" applyBorder="1" applyAlignment="1">
      <alignment/>
    </xf>
    <xf numFmtId="0" fontId="16" fillId="0" borderId="7" xfId="0" applyFont="1" applyFill="1" applyBorder="1" applyAlignment="1">
      <alignment/>
    </xf>
    <xf numFmtId="0" fontId="16" fillId="0" borderId="9" xfId="0" applyFont="1" applyBorder="1" applyAlignment="1">
      <alignment/>
    </xf>
    <xf numFmtId="166" fontId="16" fillId="0" borderId="0" xfId="0" applyNumberFormat="1" applyFont="1" applyBorder="1" applyAlignment="1">
      <alignment/>
    </xf>
    <xf numFmtId="178" fontId="16" fillId="0" borderId="0" xfId="27" applyNumberFormat="1" applyFont="1" applyFill="1" applyBorder="1" applyAlignment="1">
      <alignment/>
    </xf>
    <xf numFmtId="0" fontId="16" fillId="0" borderId="13" xfId="0" applyFont="1" applyFill="1" applyBorder="1" applyAlignment="1">
      <alignment/>
    </xf>
    <xf numFmtId="165" fontId="16" fillId="0" borderId="0" xfId="27" applyNumberFormat="1" applyFont="1" applyFill="1" applyBorder="1" applyAlignment="1">
      <alignment/>
    </xf>
    <xf numFmtId="165" fontId="16" fillId="0" borderId="13" xfId="0" applyNumberFormat="1" applyFont="1" applyFill="1" applyBorder="1" applyAlignment="1">
      <alignment/>
    </xf>
    <xf numFmtId="165" fontId="16" fillId="0" borderId="13" xfId="27" applyNumberFormat="1" applyFont="1" applyFill="1" applyBorder="1" applyAlignment="1">
      <alignment/>
    </xf>
    <xf numFmtId="166" fontId="16" fillId="0" borderId="13" xfId="27" applyNumberFormat="1" applyFont="1" applyFill="1" applyBorder="1" applyAlignment="1">
      <alignment/>
    </xf>
    <xf numFmtId="0" fontId="16" fillId="0" borderId="10" xfId="0" applyFont="1" applyBorder="1" applyAlignment="1">
      <alignment/>
    </xf>
    <xf numFmtId="166" fontId="16" fillId="0" borderId="2" xfId="0" applyNumberFormat="1" applyFont="1" applyBorder="1" applyAlignment="1">
      <alignment/>
    </xf>
    <xf numFmtId="166" fontId="16" fillId="0" borderId="2" xfId="27" applyNumberFormat="1" applyFont="1" applyFill="1" applyBorder="1" applyAlignment="1">
      <alignment/>
    </xf>
    <xf numFmtId="166" fontId="16" fillId="0" borderId="12" xfId="27" applyNumberFormat="1" applyFont="1" applyFill="1" applyBorder="1" applyAlignment="1">
      <alignment/>
    </xf>
    <xf numFmtId="165" fontId="16" fillId="0" borderId="0" xfId="27" applyNumberFormat="1" applyFont="1" applyFill="1" applyAlignment="1">
      <alignment/>
    </xf>
    <xf numFmtId="165" fontId="16" fillId="0" borderId="0" xfId="0" applyNumberFormat="1" applyFont="1" applyFill="1" applyAlignment="1">
      <alignment/>
    </xf>
    <xf numFmtId="164" fontId="16" fillId="0" borderId="0" xfId="27" applyNumberFormat="1" applyFont="1" applyFill="1" applyAlignment="1">
      <alignment/>
    </xf>
    <xf numFmtId="174" fontId="16" fillId="0" borderId="0" xfId="0" applyNumberFormat="1" applyFont="1" applyFill="1" applyAlignment="1">
      <alignment/>
    </xf>
    <xf numFmtId="2" fontId="16" fillId="0" borderId="0" xfId="27" applyNumberFormat="1" applyFont="1" applyFill="1" applyBorder="1" applyAlignment="1">
      <alignment/>
    </xf>
    <xf numFmtId="164" fontId="16" fillId="0" borderId="0" xfId="27" applyNumberFormat="1" applyFont="1" applyFill="1" applyAlignment="1" quotePrefix="1">
      <alignment/>
    </xf>
    <xf numFmtId="10" fontId="16" fillId="0" borderId="0" xfId="27" applyNumberFormat="1" applyFont="1" applyFill="1" applyAlignment="1">
      <alignment/>
    </xf>
    <xf numFmtId="2" fontId="16" fillId="0" borderId="0" xfId="0" applyNumberFormat="1" applyFont="1" applyFill="1" applyAlignment="1">
      <alignment/>
    </xf>
    <xf numFmtId="2" fontId="16" fillId="0" borderId="0" xfId="0" applyNumberFormat="1" applyFont="1" applyBorder="1" applyAlignment="1">
      <alignment/>
    </xf>
    <xf numFmtId="0" fontId="28" fillId="2" borderId="14" xfId="16" applyFont="1" applyBorder="1">
      <alignment/>
      <protection/>
    </xf>
    <xf numFmtId="0" fontId="19" fillId="2" borderId="15" xfId="16" applyFont="1" applyBorder="1">
      <alignment/>
      <protection/>
    </xf>
    <xf numFmtId="0" fontId="19" fillId="2" borderId="5" xfId="16" applyFont="1" applyBorder="1">
      <alignment/>
      <protection/>
    </xf>
    <xf numFmtId="0" fontId="16" fillId="8" borderId="15" xfId="16" applyFont="1" applyFill="1" applyBorder="1">
      <alignment/>
      <protection/>
    </xf>
    <xf numFmtId="0" fontId="16" fillId="8" borderId="5" xfId="16" applyFont="1" applyFill="1" applyBorder="1">
      <alignment/>
      <protection/>
    </xf>
    <xf numFmtId="0" fontId="16" fillId="2" borderId="15" xfId="16" applyFont="1" applyBorder="1">
      <alignment/>
      <protection/>
    </xf>
    <xf numFmtId="0" fontId="16" fillId="2" borderId="5" xfId="16" applyFont="1" applyBorder="1">
      <alignment/>
      <protection/>
    </xf>
    <xf numFmtId="0" fontId="16" fillId="2" borderId="16" xfId="16" applyFont="1" applyBorder="1">
      <alignment/>
      <protection/>
    </xf>
    <xf numFmtId="0" fontId="16" fillId="2" borderId="17" xfId="16" applyFont="1" applyBorder="1">
      <alignment/>
      <protection/>
    </xf>
    <xf numFmtId="0" fontId="16" fillId="0" borderId="0" xfId="0" applyFont="1" applyAlignment="1">
      <alignment horizontal="right"/>
    </xf>
    <xf numFmtId="0" fontId="16" fillId="0" borderId="5" xfId="0" applyFont="1" applyFill="1" applyBorder="1" applyAlignment="1">
      <alignment/>
    </xf>
    <xf numFmtId="166" fontId="16" fillId="0" borderId="5" xfId="27" applyNumberFormat="1" applyFont="1" applyFill="1" applyBorder="1" applyAlignment="1">
      <alignment/>
    </xf>
    <xf numFmtId="0" fontId="16" fillId="0" borderId="6" xfId="0" applyFont="1" applyFill="1" applyBorder="1" applyAlignment="1">
      <alignment/>
    </xf>
    <xf numFmtId="0" fontId="16" fillId="0" borderId="18" xfId="0" applyFont="1" applyFill="1" applyBorder="1" applyAlignment="1">
      <alignment/>
    </xf>
    <xf numFmtId="0" fontId="16" fillId="0" borderId="1" xfId="0" applyFont="1" applyFill="1" applyBorder="1" applyAlignment="1">
      <alignment/>
    </xf>
    <xf numFmtId="0" fontId="16" fillId="8" borderId="6" xfId="0" applyFont="1" applyFill="1" applyBorder="1" applyAlignment="1">
      <alignment/>
    </xf>
    <xf numFmtId="0" fontId="16" fillId="8" borderId="1" xfId="0" applyFont="1" applyFill="1" applyBorder="1" applyAlignment="1">
      <alignment/>
    </xf>
    <xf numFmtId="0" fontId="16" fillId="8" borderId="18" xfId="0" applyFont="1" applyFill="1" applyBorder="1" applyAlignment="1">
      <alignment/>
    </xf>
    <xf numFmtId="166" fontId="16" fillId="8" borderId="5" xfId="27" applyNumberFormat="1" applyFont="1" applyFill="1" applyBorder="1" applyAlignment="1">
      <alignment/>
    </xf>
    <xf numFmtId="166" fontId="19" fillId="0" borderId="0" xfId="27" applyNumberFormat="1" applyFont="1" applyFill="1" applyBorder="1" applyAlignment="1">
      <alignment/>
    </xf>
    <xf numFmtId="166" fontId="15" fillId="4" borderId="0" xfId="27" applyNumberFormat="1" applyFont="1" applyFill="1" applyBorder="1" applyAlignment="1">
      <alignment horizontal="right" vertical="center"/>
    </xf>
    <xf numFmtId="168" fontId="0" fillId="0" borderId="0" xfId="0" applyNumberFormat="1" applyFont="1" applyFill="1" applyAlignment="1">
      <alignment/>
    </xf>
    <xf numFmtId="0" fontId="19" fillId="0" borderId="0" xfId="0" applyFont="1" applyBorder="1" applyAlignment="1">
      <alignment/>
    </xf>
    <xf numFmtId="182" fontId="0" fillId="0" borderId="3" xfId="0" applyNumberFormat="1" applyBorder="1" applyAlignment="1">
      <alignment/>
    </xf>
    <xf numFmtId="177" fontId="14" fillId="0" borderId="18" xfId="0" applyNumberFormat="1" applyFont="1" applyFill="1" applyBorder="1" applyAlignment="1">
      <alignment/>
    </xf>
    <xf numFmtId="177" fontId="14" fillId="0" borderId="12" xfId="0" applyNumberFormat="1" applyFont="1" applyFill="1" applyBorder="1" applyAlignment="1">
      <alignment/>
    </xf>
    <xf numFmtId="0" fontId="30" fillId="0" borderId="0" xfId="0" applyFont="1" applyAlignment="1">
      <alignment/>
    </xf>
    <xf numFmtId="170" fontId="16" fillId="0" borderId="0" xfId="0" applyNumberFormat="1" applyFont="1" applyAlignment="1">
      <alignment/>
    </xf>
    <xf numFmtId="170" fontId="16" fillId="0" borderId="0" xfId="0" applyNumberFormat="1" applyFont="1" applyBorder="1" applyAlignment="1">
      <alignment/>
    </xf>
    <xf numFmtId="170" fontId="16" fillId="0" borderId="2" xfId="0" applyNumberFormat="1" applyFont="1" applyBorder="1" applyAlignment="1">
      <alignment/>
    </xf>
    <xf numFmtId="170" fontId="16" fillId="0" borderId="3" xfId="0" applyNumberFormat="1" applyFont="1" applyBorder="1" applyAlignment="1">
      <alignment/>
    </xf>
    <xf numFmtId="170" fontId="16" fillId="0" borderId="0" xfId="0" applyNumberFormat="1" applyFont="1" applyFill="1" applyAlignment="1">
      <alignment/>
    </xf>
    <xf numFmtId="170" fontId="16" fillId="0" borderId="4" xfId="0" applyNumberFormat="1" applyFont="1" applyBorder="1" applyAlignment="1">
      <alignment/>
    </xf>
    <xf numFmtId="170" fontId="16" fillId="0" borderId="0" xfId="0" applyNumberFormat="1" applyFont="1" applyBorder="1" applyAlignment="1" quotePrefix="1">
      <alignment/>
    </xf>
    <xf numFmtId="168" fontId="16" fillId="0" borderId="0" xfId="0" applyNumberFormat="1" applyFont="1" applyFill="1" applyAlignment="1">
      <alignment/>
    </xf>
    <xf numFmtId="4" fontId="16" fillId="0" borderId="0" xfId="0" applyNumberFormat="1" applyFont="1" applyAlignment="1">
      <alignment/>
    </xf>
    <xf numFmtId="0" fontId="19" fillId="0" borderId="0" xfId="0" applyFont="1" applyFill="1" applyAlignment="1">
      <alignment/>
    </xf>
    <xf numFmtId="0" fontId="25" fillId="0" borderId="0" xfId="0" applyFont="1" applyFill="1" applyAlignment="1">
      <alignment/>
    </xf>
    <xf numFmtId="180" fontId="16" fillId="0" borderId="0" xfId="0" applyNumberFormat="1" applyFont="1" applyAlignment="1">
      <alignment/>
    </xf>
    <xf numFmtId="4" fontId="16" fillId="0" borderId="4" xfId="0" applyNumberFormat="1" applyFont="1" applyBorder="1" applyAlignment="1">
      <alignment/>
    </xf>
    <xf numFmtId="9" fontId="16" fillId="0" borderId="0" xfId="0" applyNumberFormat="1" applyFont="1" applyBorder="1" applyAlignment="1">
      <alignment/>
    </xf>
    <xf numFmtId="0" fontId="16" fillId="0" borderId="0" xfId="0" applyFont="1" applyAlignment="1" quotePrefix="1">
      <alignment/>
    </xf>
    <xf numFmtId="169" fontId="16" fillId="0" borderId="0" xfId="0" applyNumberFormat="1" applyFont="1" applyAlignment="1">
      <alignment/>
    </xf>
    <xf numFmtId="169" fontId="16" fillId="0" borderId="3" xfId="0" applyNumberFormat="1" applyFont="1" applyBorder="1" applyAlignment="1">
      <alignment/>
    </xf>
    <xf numFmtId="169" fontId="16" fillId="0" borderId="0" xfId="0" applyNumberFormat="1" applyFont="1" applyFill="1" applyAlignment="1">
      <alignment/>
    </xf>
    <xf numFmtId="0" fontId="16" fillId="0" borderId="0" xfId="0" applyFont="1" applyBorder="1" applyAlignment="1" applyProtection="1">
      <alignment/>
      <protection/>
    </xf>
    <xf numFmtId="0" fontId="16" fillId="0" borderId="0" xfId="0" applyFont="1" applyFill="1" applyBorder="1" applyAlignment="1" applyProtection="1">
      <alignment/>
      <protection/>
    </xf>
    <xf numFmtId="169" fontId="16" fillId="0" borderId="0" xfId="0" applyNumberFormat="1" applyFont="1" applyBorder="1" applyAlignment="1">
      <alignment/>
    </xf>
    <xf numFmtId="169" fontId="16" fillId="0" borderId="2" xfId="0" applyNumberFormat="1" applyFont="1" applyBorder="1" applyAlignment="1">
      <alignment/>
    </xf>
    <xf numFmtId="169" fontId="16" fillId="0" borderId="2" xfId="0" applyNumberFormat="1" applyFont="1" applyFill="1" applyBorder="1" applyAlignment="1">
      <alignment/>
    </xf>
    <xf numFmtId="169" fontId="16" fillId="0" borderId="4" xfId="0" applyNumberFormat="1" applyFont="1" applyBorder="1" applyAlignment="1">
      <alignment/>
    </xf>
    <xf numFmtId="0" fontId="16" fillId="0" borderId="0" xfId="25" applyFont="1" applyBorder="1" applyProtection="1">
      <alignment/>
      <protection/>
    </xf>
    <xf numFmtId="1" fontId="23" fillId="0" borderId="0" xfId="0" applyNumberFormat="1" applyFont="1" applyFill="1" applyAlignment="1">
      <alignment/>
    </xf>
    <xf numFmtId="1" fontId="26" fillId="0" borderId="0" xfId="0" applyNumberFormat="1" applyFont="1" applyAlignment="1">
      <alignment/>
    </xf>
    <xf numFmtId="1" fontId="22" fillId="0" borderId="0" xfId="0" applyNumberFormat="1" applyFont="1" applyAlignment="1">
      <alignment/>
    </xf>
    <xf numFmtId="0" fontId="15" fillId="9" borderId="0" xfId="0" applyFont="1" applyFill="1" applyAlignment="1">
      <alignment wrapText="1"/>
    </xf>
    <xf numFmtId="0" fontId="15" fillId="9" borderId="0" xfId="0" applyFont="1" applyFill="1" applyAlignment="1">
      <alignment horizontal="right" wrapText="1"/>
    </xf>
    <xf numFmtId="10" fontId="15" fillId="9" borderId="0" xfId="0" applyNumberFormat="1" applyFont="1" applyFill="1" applyAlignment="1">
      <alignment horizontal="right" wrapText="1"/>
    </xf>
    <xf numFmtId="0" fontId="15" fillId="6" borderId="0" xfId="0" applyFont="1" applyFill="1" applyAlignment="1">
      <alignment wrapText="1"/>
    </xf>
    <xf numFmtId="0" fontId="15" fillId="9" borderId="0" xfId="0" applyFont="1" applyFill="1" applyBorder="1" applyAlignment="1">
      <alignment/>
    </xf>
    <xf numFmtId="0" fontId="15" fillId="9" borderId="0" xfId="0" applyFont="1" applyFill="1" applyAlignment="1">
      <alignment/>
    </xf>
    <xf numFmtId="0" fontId="15" fillId="3" borderId="5" xfId="0" applyFont="1" applyFill="1" applyBorder="1" applyAlignment="1">
      <alignment/>
    </xf>
    <xf numFmtId="0" fontId="15" fillId="3" borderId="5" xfId="0" applyFont="1" applyFill="1" applyBorder="1" applyAlignment="1">
      <alignment horizontal="center"/>
    </xf>
    <xf numFmtId="0" fontId="14" fillId="3" borderId="5" xfId="0" applyFont="1" applyFill="1" applyBorder="1" applyAlignment="1">
      <alignment horizontal="center"/>
    </xf>
    <xf numFmtId="0" fontId="14" fillId="3" borderId="5" xfId="0" applyFont="1" applyFill="1" applyBorder="1" applyAlignment="1">
      <alignment/>
    </xf>
    <xf numFmtId="165" fontId="32" fillId="3" borderId="5" xfId="0" applyNumberFormat="1" applyFont="1" applyFill="1" applyBorder="1" applyAlignment="1">
      <alignment horizontal="right"/>
    </xf>
    <xf numFmtId="0" fontId="14" fillId="3" borderId="5" xfId="0" applyFont="1" applyFill="1" applyBorder="1" applyAlignment="1">
      <alignment horizontal="left"/>
    </xf>
    <xf numFmtId="2" fontId="32" fillId="3" borderId="5" xfId="0" applyNumberFormat="1" applyFont="1" applyFill="1" applyBorder="1" applyAlignment="1">
      <alignment horizontal="right"/>
    </xf>
    <xf numFmtId="182" fontId="15" fillId="9" borderId="0" xfId="0" applyNumberFormat="1" applyFont="1" applyFill="1" applyAlignment="1">
      <alignment/>
    </xf>
    <xf numFmtId="0" fontId="15" fillId="9" borderId="0" xfId="0" applyFont="1" applyFill="1" applyBorder="1" applyAlignment="1">
      <alignment horizontal="center" textRotation="90"/>
    </xf>
    <xf numFmtId="0" fontId="14" fillId="9" borderId="0" xfId="0" applyFont="1" applyFill="1" applyBorder="1" applyAlignment="1">
      <alignment horizontal="center"/>
    </xf>
    <xf numFmtId="49" fontId="14" fillId="9" borderId="0" xfId="0" applyNumberFormat="1" applyFont="1" applyFill="1" applyBorder="1" applyAlignment="1" quotePrefix="1">
      <alignment/>
    </xf>
    <xf numFmtId="49" fontId="14" fillId="9" borderId="0" xfId="0" applyNumberFormat="1" applyFont="1" applyFill="1" applyBorder="1" applyAlignment="1">
      <alignment/>
    </xf>
    <xf numFmtId="165" fontId="14" fillId="9" borderId="0" xfId="0" applyNumberFormat="1" applyFont="1" applyFill="1" applyBorder="1" applyAlignment="1">
      <alignment/>
    </xf>
    <xf numFmtId="0" fontId="33" fillId="9" borderId="0" xfId="0" applyFont="1" applyFill="1" applyAlignment="1">
      <alignment/>
    </xf>
    <xf numFmtId="165" fontId="15" fillId="9" borderId="0" xfId="0" applyNumberFormat="1" applyFont="1" applyFill="1" applyAlignment="1">
      <alignment/>
    </xf>
    <xf numFmtId="10" fontId="15" fillId="9" borderId="0" xfId="0" applyNumberFormat="1" applyFont="1" applyFill="1" applyAlignment="1">
      <alignment/>
    </xf>
    <xf numFmtId="2" fontId="15" fillId="9" borderId="0" xfId="0" applyNumberFormat="1" applyFont="1" applyFill="1" applyAlignment="1">
      <alignment/>
    </xf>
    <xf numFmtId="2" fontId="16" fillId="0" borderId="0" xfId="0" applyNumberFormat="1" applyFont="1" applyFill="1" applyBorder="1" applyAlignment="1">
      <alignment/>
    </xf>
    <xf numFmtId="0" fontId="34" fillId="0" borderId="0" xfId="0" applyFont="1" applyAlignment="1">
      <alignment/>
    </xf>
    <xf numFmtId="170" fontId="16" fillId="0" borderId="0" xfId="0" applyNumberFormat="1" applyFont="1" applyFill="1" applyBorder="1" applyAlignment="1">
      <alignment/>
    </xf>
    <xf numFmtId="170" fontId="16" fillId="0" borderId="2" xfId="0" applyNumberFormat="1" applyFont="1" applyFill="1" applyBorder="1" applyAlignment="1">
      <alignment/>
    </xf>
    <xf numFmtId="178" fontId="16" fillId="0" borderId="0" xfId="0" applyNumberFormat="1" applyFont="1" applyFill="1" applyAlignment="1">
      <alignment/>
    </xf>
    <xf numFmtId="165" fontId="14" fillId="0" borderId="5" xfId="15" applyNumberFormat="1" applyFont="1" applyFill="1" applyBorder="1" applyAlignment="1" quotePrefix="1">
      <alignment horizontal="center" vertical="center"/>
    </xf>
    <xf numFmtId="49" fontId="14" fillId="0" borderId="0" xfId="15" applyNumberFormat="1" applyFont="1" applyFill="1" applyBorder="1" applyAlignment="1">
      <alignment horizontal="center" vertical="center"/>
    </xf>
    <xf numFmtId="166" fontId="16" fillId="0" borderId="0" xfId="27" applyNumberFormat="1" applyFont="1" applyBorder="1" applyAlignment="1">
      <alignment/>
    </xf>
    <xf numFmtId="0" fontId="35" fillId="0" borderId="0" xfId="0" applyFont="1" applyAlignment="1">
      <alignment/>
    </xf>
    <xf numFmtId="0" fontId="19" fillId="0" borderId="0" xfId="0" applyFont="1" applyFill="1" applyBorder="1" applyAlignment="1">
      <alignment/>
    </xf>
    <xf numFmtId="166" fontId="16" fillId="0" borderId="0" xfId="0" applyNumberFormat="1" applyFont="1" applyFill="1" applyBorder="1" applyAlignment="1">
      <alignment horizontal="right"/>
    </xf>
    <xf numFmtId="166" fontId="16" fillId="0" borderId="0" xfId="0" applyNumberFormat="1" applyFont="1" applyBorder="1" applyAlignment="1">
      <alignment horizontal="right"/>
    </xf>
    <xf numFmtId="16" fontId="19" fillId="0" borderId="0" xfId="0" applyNumberFormat="1" applyFont="1" applyFill="1" applyBorder="1" applyAlignment="1">
      <alignment/>
    </xf>
    <xf numFmtId="176" fontId="16" fillId="0" borderId="2" xfId="0" applyNumberFormat="1" applyFont="1" applyBorder="1" applyAlignment="1">
      <alignment/>
    </xf>
    <xf numFmtId="176" fontId="16" fillId="0" borderId="0" xfId="0" applyNumberFormat="1" applyFont="1" applyBorder="1" applyAlignment="1">
      <alignment/>
    </xf>
    <xf numFmtId="0" fontId="29" fillId="0" borderId="0" xfId="0" applyFont="1" applyAlignment="1">
      <alignment horizontal="right" wrapText="1"/>
    </xf>
    <xf numFmtId="0" fontId="19" fillId="0" borderId="8" xfId="0" applyFont="1" applyBorder="1" applyAlignment="1">
      <alignment/>
    </xf>
    <xf numFmtId="0" fontId="29" fillId="0" borderId="0" xfId="0" applyFont="1" applyBorder="1" applyAlignment="1">
      <alignment horizontal="right" wrapText="1"/>
    </xf>
    <xf numFmtId="0" fontId="29" fillId="0" borderId="7" xfId="0" applyFont="1" applyBorder="1" applyAlignment="1">
      <alignment horizontal="right" wrapText="1"/>
    </xf>
    <xf numFmtId="176" fontId="16" fillId="0" borderId="0" xfId="0" applyNumberFormat="1" applyFont="1" applyFill="1" applyBorder="1" applyAlignment="1" quotePrefix="1">
      <alignment/>
    </xf>
    <xf numFmtId="176" fontId="19" fillId="0" borderId="0" xfId="0" applyNumberFormat="1" applyFont="1" applyBorder="1" applyAlignment="1" quotePrefix="1">
      <alignment/>
    </xf>
    <xf numFmtId="176" fontId="19" fillId="0" borderId="0" xfId="0" applyNumberFormat="1" applyFont="1" applyFill="1" applyBorder="1" applyAlignment="1" quotePrefix="1">
      <alignment/>
    </xf>
    <xf numFmtId="0" fontId="19" fillId="0" borderId="9" xfId="0" applyFont="1" applyBorder="1" applyAlignment="1">
      <alignment/>
    </xf>
    <xf numFmtId="176" fontId="19" fillId="0" borderId="13" xfId="0" applyNumberFormat="1" applyFont="1" applyFill="1" applyBorder="1" applyAlignment="1" quotePrefix="1">
      <alignment/>
    </xf>
    <xf numFmtId="10" fontId="16" fillId="0" borderId="0" xfId="27" applyNumberFormat="1" applyFont="1" applyBorder="1" applyAlignment="1">
      <alignment/>
    </xf>
    <xf numFmtId="166" fontId="16" fillId="0" borderId="13" xfId="27" applyNumberFormat="1" applyFont="1" applyBorder="1" applyAlignment="1">
      <alignment/>
    </xf>
    <xf numFmtId="166" fontId="16" fillId="0" borderId="13" xfId="0" applyNumberFormat="1" applyFont="1" applyBorder="1" applyAlignment="1">
      <alignment/>
    </xf>
    <xf numFmtId="10" fontId="16" fillId="0" borderId="0" xfId="27" applyNumberFormat="1" applyFont="1" applyFill="1" applyBorder="1" applyAlignment="1">
      <alignment/>
    </xf>
    <xf numFmtId="0" fontId="19" fillId="8" borderId="9" xfId="0" applyFont="1" applyFill="1" applyBorder="1" applyAlignment="1">
      <alignment/>
    </xf>
    <xf numFmtId="166" fontId="19" fillId="8" borderId="0" xfId="0" applyNumberFormat="1" applyFont="1" applyFill="1" applyBorder="1" applyAlignment="1">
      <alignment/>
    </xf>
    <xf numFmtId="166" fontId="19" fillId="8" borderId="13" xfId="0" applyNumberFormat="1" applyFont="1" applyFill="1" applyBorder="1" applyAlignment="1">
      <alignment/>
    </xf>
    <xf numFmtId="10" fontId="16" fillId="0" borderId="0" xfId="27" applyNumberFormat="1" applyFont="1" applyBorder="1" applyAlignment="1" quotePrefix="1">
      <alignment/>
    </xf>
    <xf numFmtId="165" fontId="16" fillId="0" borderId="0" xfId="0" applyNumberFormat="1" applyFont="1" applyBorder="1" applyAlignment="1" quotePrefix="1">
      <alignment/>
    </xf>
    <xf numFmtId="166" fontId="19" fillId="8" borderId="0" xfId="27" applyNumberFormat="1" applyFont="1" applyFill="1" applyBorder="1" applyAlignment="1">
      <alignment/>
    </xf>
    <xf numFmtId="166" fontId="19" fillId="8" borderId="13" xfId="27" applyNumberFormat="1" applyFont="1" applyFill="1" applyBorder="1" applyAlignment="1">
      <alignment/>
    </xf>
    <xf numFmtId="166" fontId="16" fillId="0" borderId="0" xfId="0" applyNumberFormat="1" applyFont="1" applyBorder="1" applyAlignment="1">
      <alignment wrapText="1"/>
    </xf>
    <xf numFmtId="166" fontId="16" fillId="0" borderId="13" xfId="0" applyNumberFormat="1" applyFont="1" applyBorder="1" applyAlignment="1">
      <alignment wrapText="1"/>
    </xf>
    <xf numFmtId="175" fontId="16" fillId="0" borderId="0" xfId="0" applyNumberFormat="1" applyFont="1" applyBorder="1" applyAlignment="1">
      <alignment/>
    </xf>
    <xf numFmtId="175" fontId="16" fillId="0" borderId="13" xfId="0" applyNumberFormat="1" applyFont="1" applyBorder="1" applyAlignment="1">
      <alignment/>
    </xf>
    <xf numFmtId="165" fontId="16" fillId="0" borderId="13" xfId="0" applyNumberFormat="1" applyFont="1" applyBorder="1" applyAlignment="1">
      <alignment/>
    </xf>
    <xf numFmtId="175" fontId="16" fillId="0" borderId="2" xfId="0" applyNumberFormat="1" applyFont="1" applyBorder="1" applyAlignment="1">
      <alignment horizontal="right"/>
    </xf>
    <xf numFmtId="175" fontId="16" fillId="0" borderId="12" xfId="0" applyNumberFormat="1" applyFont="1" applyBorder="1" applyAlignment="1">
      <alignment horizontal="right"/>
    </xf>
    <xf numFmtId="0" fontId="16" fillId="0" borderId="0" xfId="0" applyFont="1" applyBorder="1" applyAlignment="1">
      <alignment wrapText="1"/>
    </xf>
    <xf numFmtId="0" fontId="16" fillId="0" borderId="0" xfId="0" applyFont="1" applyAlignment="1">
      <alignment wrapText="1"/>
    </xf>
    <xf numFmtId="175" fontId="16" fillId="0" borderId="0" xfId="0" applyNumberFormat="1" applyFont="1" applyBorder="1" applyAlignment="1">
      <alignment horizontal="right"/>
    </xf>
    <xf numFmtId="175" fontId="16" fillId="0" borderId="0" xfId="0" applyNumberFormat="1" applyFont="1" applyAlignment="1">
      <alignment/>
    </xf>
    <xf numFmtId="179" fontId="16" fillId="0" borderId="0" xfId="0" applyNumberFormat="1" applyFont="1" applyAlignment="1">
      <alignment/>
    </xf>
    <xf numFmtId="184" fontId="16" fillId="0" borderId="0" xfId="0" applyNumberFormat="1" applyFont="1" applyAlignment="1">
      <alignment/>
    </xf>
    <xf numFmtId="184" fontId="16" fillId="0" borderId="0" xfId="0" applyNumberFormat="1" applyFont="1" applyFill="1" applyAlignment="1">
      <alignment/>
    </xf>
    <xf numFmtId="0" fontId="29" fillId="0" borderId="3" xfId="0" applyFont="1" applyBorder="1" applyAlignment="1">
      <alignment horizontal="right" wrapText="1"/>
    </xf>
    <xf numFmtId="176" fontId="16" fillId="0" borderId="0" xfId="0" applyNumberFormat="1" applyFont="1" applyBorder="1" applyAlignment="1" quotePrefix="1">
      <alignment/>
    </xf>
    <xf numFmtId="166" fontId="16" fillId="0" borderId="0" xfId="27" applyNumberFormat="1" applyFont="1" applyBorder="1" applyAlignment="1" quotePrefix="1">
      <alignment/>
    </xf>
    <xf numFmtId="166" fontId="19" fillId="0" borderId="0" xfId="27" applyNumberFormat="1" applyFont="1" applyBorder="1" applyAlignment="1">
      <alignment/>
    </xf>
    <xf numFmtId="0" fontId="16" fillId="0" borderId="0" xfId="0" applyFont="1" applyBorder="1" applyAlignment="1" quotePrefix="1">
      <alignment/>
    </xf>
    <xf numFmtId="166" fontId="19" fillId="0" borderId="0" xfId="0" applyNumberFormat="1" applyFont="1" applyBorder="1" applyAlignment="1">
      <alignment/>
    </xf>
    <xf numFmtId="0" fontId="35" fillId="0" borderId="0" xfId="0" applyFont="1" applyFill="1" applyAlignment="1">
      <alignment/>
    </xf>
    <xf numFmtId="0" fontId="19" fillId="0" borderId="5" xfId="0" applyFont="1" applyFill="1" applyBorder="1" applyAlignment="1">
      <alignment/>
    </xf>
    <xf numFmtId="0" fontId="16" fillId="0" borderId="5" xfId="0" applyFont="1" applyFill="1" applyBorder="1" applyAlignment="1">
      <alignment horizontal="center"/>
    </xf>
    <xf numFmtId="0" fontId="16" fillId="0" borderId="0" xfId="0" applyFont="1" applyFill="1" applyBorder="1" applyAlignment="1">
      <alignment horizontal="center"/>
    </xf>
    <xf numFmtId="166" fontId="16" fillId="0" borderId="5" xfId="0" applyNumberFormat="1" applyFont="1" applyFill="1" applyBorder="1" applyAlignment="1">
      <alignment/>
    </xf>
    <xf numFmtId="166" fontId="19" fillId="0" borderId="5" xfId="0" applyNumberFormat="1" applyFont="1" applyFill="1" applyBorder="1" applyAlignment="1">
      <alignment/>
    </xf>
    <xf numFmtId="0" fontId="19" fillId="0" borderId="19" xfId="0" applyFont="1" applyBorder="1" applyAlignment="1">
      <alignment/>
    </xf>
    <xf numFmtId="0" fontId="16" fillId="0" borderId="19" xfId="0" applyFont="1" applyBorder="1" applyAlignment="1">
      <alignment/>
    </xf>
    <xf numFmtId="0" fontId="19" fillId="0" borderId="11" xfId="0" applyFont="1" applyBorder="1" applyAlignment="1">
      <alignment/>
    </xf>
    <xf numFmtId="176" fontId="16" fillId="0" borderId="11" xfId="0" applyNumberFormat="1" applyFont="1" applyBorder="1" applyAlignment="1" quotePrefix="1">
      <alignment/>
    </xf>
    <xf numFmtId="176" fontId="19" fillId="0" borderId="11" xfId="0" applyNumberFormat="1" applyFont="1" applyBorder="1" applyAlignment="1" quotePrefix="1">
      <alignment/>
    </xf>
    <xf numFmtId="166" fontId="16" fillId="0" borderId="20" xfId="27" applyNumberFormat="1" applyFont="1" applyBorder="1" applyAlignment="1">
      <alignment/>
    </xf>
    <xf numFmtId="166" fontId="16" fillId="0" borderId="20" xfId="0" applyNumberFormat="1" applyFont="1" applyBorder="1" applyAlignment="1">
      <alignment/>
    </xf>
    <xf numFmtId="166" fontId="19" fillId="8" borderId="20" xfId="0" applyNumberFormat="1" applyFont="1" applyFill="1" applyBorder="1" applyAlignment="1">
      <alignment/>
    </xf>
    <xf numFmtId="0" fontId="19" fillId="0" borderId="9" xfId="0" applyFont="1" applyFill="1" applyBorder="1" applyAlignment="1">
      <alignment/>
    </xf>
    <xf numFmtId="166" fontId="19" fillId="8" borderId="20" xfId="27" applyNumberFormat="1" applyFont="1" applyFill="1" applyBorder="1" applyAlignment="1">
      <alignment/>
    </xf>
    <xf numFmtId="165" fontId="16" fillId="0" borderId="20" xfId="27" applyNumberFormat="1" applyFont="1" applyBorder="1" applyAlignment="1">
      <alignment/>
    </xf>
    <xf numFmtId="175" fontId="16" fillId="0" borderId="11" xfId="0" applyNumberFormat="1" applyFont="1" applyBorder="1" applyAlignment="1">
      <alignment/>
    </xf>
    <xf numFmtId="176" fontId="19" fillId="0" borderId="0" xfId="0" applyNumberFormat="1" applyFont="1" applyFill="1" applyBorder="1" applyAlignment="1">
      <alignment/>
    </xf>
    <xf numFmtId="175" fontId="16" fillId="0" borderId="3" xfId="0" applyNumberFormat="1" applyFont="1" applyFill="1" applyBorder="1" applyAlignment="1">
      <alignment horizontal="right" wrapText="1"/>
    </xf>
    <xf numFmtId="179" fontId="16" fillId="0" borderId="0" xfId="0" applyNumberFormat="1" applyFont="1" applyBorder="1" applyAlignment="1">
      <alignment/>
    </xf>
    <xf numFmtId="188" fontId="16" fillId="0" borderId="0" xfId="0" applyNumberFormat="1" applyFont="1" applyBorder="1" applyAlignment="1">
      <alignment/>
    </xf>
    <xf numFmtId="188" fontId="16" fillId="0" borderId="13" xfId="0" applyNumberFormat="1" applyFont="1" applyBorder="1" applyAlignment="1">
      <alignment/>
    </xf>
    <xf numFmtId="175" fontId="16" fillId="0" borderId="0" xfId="0" applyNumberFormat="1" applyFont="1" applyFill="1" applyBorder="1" applyAlignment="1">
      <alignment/>
    </xf>
    <xf numFmtId="179" fontId="16" fillId="0" borderId="0" xfId="0" applyNumberFormat="1" applyFont="1" applyFill="1" applyBorder="1" applyAlignment="1">
      <alignment/>
    </xf>
    <xf numFmtId="184" fontId="16" fillId="0" borderId="0" xfId="0" applyNumberFormat="1" applyFont="1" applyFill="1" applyBorder="1" applyAlignment="1">
      <alignment/>
    </xf>
    <xf numFmtId="166" fontId="16" fillId="5" borderId="5" xfId="27" applyNumberFormat="1" applyFont="1" applyFill="1" applyBorder="1" applyAlignment="1">
      <alignment/>
    </xf>
    <xf numFmtId="9" fontId="16" fillId="5" borderId="5" xfId="27" applyFont="1" applyFill="1" applyBorder="1" applyAlignment="1">
      <alignment/>
    </xf>
    <xf numFmtId="166" fontId="19" fillId="0" borderId="5" xfId="27" applyNumberFormat="1" applyFont="1" applyFill="1" applyBorder="1" applyAlignment="1">
      <alignment/>
    </xf>
    <xf numFmtId="9" fontId="21" fillId="0" borderId="0" xfId="23" applyNumberFormat="1" applyFont="1" applyFill="1">
      <alignment/>
      <protection/>
    </xf>
    <xf numFmtId="0" fontId="21" fillId="0" borderId="0" xfId="23" applyFont="1" applyFill="1">
      <alignment/>
      <protection/>
    </xf>
    <xf numFmtId="164" fontId="21" fillId="0" borderId="0" xfId="23" applyNumberFormat="1" applyFont="1" applyFill="1">
      <alignment/>
      <protection/>
    </xf>
    <xf numFmtId="10" fontId="21" fillId="0" borderId="0" xfId="23" applyNumberFormat="1" applyFont="1" applyFill="1">
      <alignment/>
      <protection/>
    </xf>
    <xf numFmtId="0" fontId="23" fillId="0" borderId="0" xfId="0" applyFont="1" applyFill="1" applyAlignment="1">
      <alignment/>
    </xf>
    <xf numFmtId="0" fontId="15" fillId="0" borderId="0" xfId="0" applyFont="1" applyBorder="1" applyAlignment="1">
      <alignment/>
    </xf>
    <xf numFmtId="164" fontId="15" fillId="0" borderId="0" xfId="0" applyNumberFormat="1" applyFont="1" applyAlignment="1">
      <alignment horizontal="center"/>
    </xf>
    <xf numFmtId="165" fontId="15" fillId="0" borderId="0" xfId="0" applyNumberFormat="1" applyFont="1" applyAlignment="1">
      <alignment horizontal="right"/>
    </xf>
    <xf numFmtId="0" fontId="15" fillId="0" borderId="0" xfId="0" applyFont="1" applyAlignment="1">
      <alignment horizontal="center"/>
    </xf>
    <xf numFmtId="165" fontId="14" fillId="0" borderId="0" xfId="0" applyNumberFormat="1" applyFont="1" applyAlignment="1">
      <alignment horizontal="right"/>
    </xf>
    <xf numFmtId="0" fontId="15" fillId="0" borderId="0" xfId="0" applyFont="1" applyAlignment="1">
      <alignment horizontal="right"/>
    </xf>
    <xf numFmtId="166" fontId="15" fillId="0" borderId="0" xfId="0" applyNumberFormat="1" applyFont="1" applyAlignment="1">
      <alignment horizontal="right"/>
    </xf>
    <xf numFmtId="0" fontId="15" fillId="0" borderId="0" xfId="0" applyFont="1" applyBorder="1" applyAlignment="1">
      <alignment horizontal="right"/>
    </xf>
    <xf numFmtId="177" fontId="15" fillId="0" borderId="20" xfId="27" applyNumberFormat="1" applyFont="1" applyBorder="1" applyAlignment="1">
      <alignment horizontal="center"/>
    </xf>
    <xf numFmtId="10" fontId="15" fillId="0" borderId="20" xfId="27" applyNumberFormat="1" applyFont="1" applyBorder="1" applyAlignment="1">
      <alignment horizontal="center"/>
    </xf>
    <xf numFmtId="0" fontId="15" fillId="0" borderId="20" xfId="0" applyFont="1" applyBorder="1" applyAlignment="1">
      <alignment/>
    </xf>
    <xf numFmtId="0" fontId="15" fillId="3" borderId="0" xfId="0" applyFont="1" applyFill="1" applyAlignment="1">
      <alignment/>
    </xf>
    <xf numFmtId="2" fontId="15" fillId="0" borderId="0" xfId="0" applyNumberFormat="1" applyFont="1" applyAlignment="1">
      <alignment/>
    </xf>
    <xf numFmtId="9" fontId="15" fillId="0" borderId="0" xfId="0" applyNumberFormat="1" applyFont="1" applyAlignment="1">
      <alignment/>
    </xf>
    <xf numFmtId="10" fontId="15" fillId="0" borderId="0" xfId="0" applyNumberFormat="1" applyFont="1" applyAlignment="1">
      <alignment/>
    </xf>
    <xf numFmtId="165" fontId="15" fillId="3" borderId="0" xfId="0" applyNumberFormat="1" applyFont="1" applyFill="1" applyAlignment="1">
      <alignment/>
    </xf>
    <xf numFmtId="164" fontId="15" fillId="0" borderId="0" xfId="0" applyNumberFormat="1" applyFont="1" applyAlignment="1">
      <alignment/>
    </xf>
    <xf numFmtId="164" fontId="15" fillId="3" borderId="0" xfId="0" applyNumberFormat="1" applyFont="1" applyFill="1" applyAlignment="1">
      <alignment/>
    </xf>
    <xf numFmtId="1" fontId="15" fillId="0" borderId="20" xfId="0" applyNumberFormat="1" applyFont="1" applyBorder="1" applyAlignment="1">
      <alignment horizontal="left"/>
    </xf>
    <xf numFmtId="165" fontId="15" fillId="0" borderId="20" xfId="0" applyNumberFormat="1" applyFont="1" applyFill="1" applyBorder="1" applyAlignment="1">
      <alignment horizontal="center"/>
    </xf>
    <xf numFmtId="1" fontId="15" fillId="0" borderId="11" xfId="0" applyNumberFormat="1" applyFont="1" applyBorder="1" applyAlignment="1">
      <alignment horizontal="left"/>
    </xf>
    <xf numFmtId="165" fontId="15" fillId="0" borderId="11" xfId="0" applyNumberFormat="1" applyFont="1" applyFill="1" applyBorder="1" applyAlignment="1">
      <alignment horizontal="center"/>
    </xf>
    <xf numFmtId="0" fontId="15" fillId="0" borderId="3" xfId="0" applyFont="1" applyBorder="1" applyAlignment="1">
      <alignment horizontal="right"/>
    </xf>
    <xf numFmtId="1" fontId="15" fillId="0" borderId="19" xfId="0" applyNumberFormat="1" applyFont="1" applyBorder="1" applyAlignment="1">
      <alignment horizontal="center"/>
    </xf>
    <xf numFmtId="0" fontId="15" fillId="0" borderId="0" xfId="0" applyFont="1" applyBorder="1" applyAlignment="1">
      <alignment horizontal="center"/>
    </xf>
    <xf numFmtId="0" fontId="15" fillId="0" borderId="2" xfId="0" applyFont="1" applyBorder="1" applyAlignment="1">
      <alignment horizontal="right"/>
    </xf>
    <xf numFmtId="9" fontId="15" fillId="0" borderId="11" xfId="27" applyNumberFormat="1" applyFont="1" applyBorder="1" applyAlignment="1">
      <alignment horizontal="center"/>
    </xf>
    <xf numFmtId="0" fontId="15" fillId="0" borderId="1" xfId="0" applyFont="1" applyBorder="1" applyAlignment="1">
      <alignment horizontal="right"/>
    </xf>
    <xf numFmtId="165" fontId="15" fillId="0" borderId="19" xfId="0" applyNumberFormat="1" applyFont="1" applyBorder="1" applyAlignment="1">
      <alignment horizontal="center"/>
    </xf>
    <xf numFmtId="0" fontId="36" fillId="0" borderId="6" xfId="0" applyFont="1" applyFill="1" applyBorder="1" applyAlignment="1">
      <alignment/>
    </xf>
    <xf numFmtId="0" fontId="37" fillId="0" borderId="1" xfId="0" applyFont="1" applyFill="1" applyBorder="1" applyAlignment="1">
      <alignment horizontal="right"/>
    </xf>
    <xf numFmtId="0" fontId="37" fillId="0" borderId="5" xfId="0" applyFont="1" applyFill="1" applyBorder="1" applyAlignment="1">
      <alignment horizontal="center"/>
    </xf>
    <xf numFmtId="1" fontId="37" fillId="0" borderId="5" xfId="0" applyNumberFormat="1" applyFont="1" applyFill="1" applyBorder="1" applyAlignment="1">
      <alignment horizontal="center"/>
    </xf>
    <xf numFmtId="0" fontId="36" fillId="0" borderId="0" xfId="0" applyFont="1" applyFill="1" applyBorder="1" applyAlignment="1">
      <alignment horizontal="center"/>
    </xf>
    <xf numFmtId="0" fontId="15" fillId="0" borderId="3" xfId="0" applyFont="1" applyBorder="1" applyAlignment="1">
      <alignment horizontal="center"/>
    </xf>
    <xf numFmtId="0" fontId="15" fillId="0" borderId="20" xfId="0" applyFont="1" applyBorder="1" applyAlignment="1">
      <alignment horizontal="center"/>
    </xf>
    <xf numFmtId="1" fontId="15" fillId="0" borderId="0" xfId="0" applyNumberFormat="1" applyFont="1" applyBorder="1" applyAlignment="1">
      <alignment horizontal="center"/>
    </xf>
    <xf numFmtId="165" fontId="15" fillId="0" borderId="0" xfId="0" applyNumberFormat="1" applyFont="1" applyBorder="1" applyAlignment="1">
      <alignment horizontal="center"/>
    </xf>
    <xf numFmtId="165" fontId="15" fillId="10" borderId="20" xfId="0" applyNumberFormat="1" applyFont="1" applyFill="1" applyBorder="1" applyAlignment="1">
      <alignment horizontal="center"/>
    </xf>
    <xf numFmtId="1" fontId="15" fillId="0" borderId="2" xfId="0" applyNumberFormat="1" applyFont="1" applyBorder="1" applyAlignment="1">
      <alignment horizontal="center"/>
    </xf>
    <xf numFmtId="165" fontId="15" fillId="10" borderId="11" xfId="0" applyNumberFormat="1" applyFont="1" applyFill="1" applyBorder="1" applyAlignment="1">
      <alignment horizontal="center"/>
    </xf>
    <xf numFmtId="165" fontId="15" fillId="0" borderId="0" xfId="0" applyNumberFormat="1" applyFont="1" applyFill="1" applyBorder="1" applyAlignment="1">
      <alignment horizontal="right"/>
    </xf>
    <xf numFmtId="177" fontId="15" fillId="0" borderId="0" xfId="27" applyNumberFormat="1" applyFont="1" applyAlignment="1">
      <alignment/>
    </xf>
    <xf numFmtId="10" fontId="15" fillId="0" borderId="0" xfId="27" applyNumberFormat="1" applyFont="1" applyAlignment="1">
      <alignment horizontal="right"/>
    </xf>
    <xf numFmtId="0" fontId="15" fillId="0" borderId="5" xfId="0" applyFont="1" applyBorder="1" applyAlignment="1">
      <alignment horizontal="left"/>
    </xf>
    <xf numFmtId="9" fontId="15" fillId="0" borderId="0" xfId="0" applyNumberFormat="1" applyFont="1" applyFill="1" applyAlignment="1">
      <alignment/>
    </xf>
    <xf numFmtId="10" fontId="15" fillId="0" borderId="0" xfId="0" applyNumberFormat="1" applyFont="1" applyFill="1" applyAlignment="1">
      <alignment/>
    </xf>
    <xf numFmtId="9" fontId="15" fillId="0" borderId="0" xfId="0" applyNumberFormat="1" applyFont="1" applyAlignment="1">
      <alignment horizontal="left"/>
    </xf>
    <xf numFmtId="165" fontId="15" fillId="0" borderId="19" xfId="0" applyNumberFormat="1" applyFont="1" applyFill="1" applyBorder="1" applyAlignment="1">
      <alignment horizontal="center"/>
    </xf>
    <xf numFmtId="164" fontId="14" fillId="0" borderId="0" xfId="0" applyNumberFormat="1" applyFont="1" applyAlignment="1" quotePrefix="1">
      <alignment horizontal="right"/>
    </xf>
    <xf numFmtId="0" fontId="15" fillId="0" borderId="6" xfId="0" applyFont="1" applyBorder="1" applyAlignment="1">
      <alignment horizontal="left"/>
    </xf>
    <xf numFmtId="168" fontId="16" fillId="0" borderId="4" xfId="0" applyNumberFormat="1" applyFont="1" applyFill="1" applyBorder="1" applyAlignment="1">
      <alignment/>
    </xf>
    <xf numFmtId="168" fontId="16" fillId="0" borderId="3" xfId="0" applyNumberFormat="1" applyFont="1" applyFill="1" applyBorder="1" applyAlignment="1">
      <alignment/>
    </xf>
    <xf numFmtId="0" fontId="34" fillId="0" borderId="6" xfId="0" applyFont="1" applyFill="1" applyBorder="1" applyAlignment="1">
      <alignment/>
    </xf>
    <xf numFmtId="2" fontId="16" fillId="0" borderId="0" xfId="0" applyNumberFormat="1" applyFont="1" applyAlignment="1">
      <alignment/>
    </xf>
    <xf numFmtId="2" fontId="16" fillId="0" borderId="4" xfId="0" applyNumberFormat="1" applyFont="1" applyBorder="1" applyAlignment="1">
      <alignment/>
    </xf>
    <xf numFmtId="2" fontId="16" fillId="0" borderId="2" xfId="0" applyNumberFormat="1" applyFont="1" applyBorder="1" applyAlignment="1">
      <alignment/>
    </xf>
    <xf numFmtId="1" fontId="19" fillId="0" borderId="0" xfId="0" applyNumberFormat="1" applyFont="1" applyBorder="1" applyAlignment="1">
      <alignment/>
    </xf>
    <xf numFmtId="1" fontId="19" fillId="0" borderId="0" xfId="0" applyNumberFormat="1" applyFont="1" applyFill="1" applyBorder="1" applyAlignment="1">
      <alignment/>
    </xf>
    <xf numFmtId="1" fontId="19" fillId="0" borderId="0" xfId="0" applyNumberFormat="1" applyFont="1" applyAlignment="1">
      <alignment/>
    </xf>
    <xf numFmtId="1" fontId="19" fillId="0" borderId="0" xfId="0" applyNumberFormat="1" applyFont="1" applyBorder="1" applyAlignment="1">
      <alignment wrapText="1"/>
    </xf>
    <xf numFmtId="177" fontId="16" fillId="0" borderId="0" xfId="27" applyNumberFormat="1" applyFont="1" applyBorder="1" applyAlignment="1" quotePrefix="1">
      <alignment/>
    </xf>
    <xf numFmtId="190" fontId="16" fillId="0" borderId="0" xfId="0" applyNumberFormat="1" applyFont="1" applyFill="1" applyBorder="1" applyAlignment="1">
      <alignment/>
    </xf>
    <xf numFmtId="165" fontId="15" fillId="0" borderId="0" xfId="0" applyNumberFormat="1" applyFont="1" applyAlignment="1">
      <alignment horizontal="center"/>
    </xf>
    <xf numFmtId="0" fontId="15" fillId="0" borderId="0" xfId="0" applyFont="1" applyAlignment="1" quotePrefix="1">
      <alignment horizontal="left"/>
    </xf>
    <xf numFmtId="164" fontId="14" fillId="0" borderId="0" xfId="0" applyNumberFormat="1" applyFont="1" applyAlignment="1">
      <alignment horizontal="center"/>
    </xf>
    <xf numFmtId="0" fontId="16" fillId="0" borderId="0" xfId="0" applyFont="1" applyFill="1" applyAlignment="1" quotePrefix="1">
      <alignment/>
    </xf>
    <xf numFmtId="165" fontId="14" fillId="0" borderId="0" xfId="0" applyNumberFormat="1" applyFont="1" applyAlignment="1">
      <alignment horizontal="center"/>
    </xf>
    <xf numFmtId="164" fontId="15" fillId="0" borderId="0" xfId="0" applyNumberFormat="1" applyFont="1" applyBorder="1" applyAlignment="1">
      <alignment horizontal="center"/>
    </xf>
    <xf numFmtId="0" fontId="29" fillId="0" borderId="0" xfId="0" applyFont="1" applyBorder="1" applyAlignment="1">
      <alignment wrapText="1"/>
    </xf>
    <xf numFmtId="2" fontId="21" fillId="2" borderId="0" xfId="23" applyNumberFormat="1" applyFont="1">
      <alignment/>
      <protection/>
    </xf>
    <xf numFmtId="165" fontId="15" fillId="3" borderId="0" xfId="0" applyNumberFormat="1" applyFont="1" applyFill="1" applyAlignment="1">
      <alignment horizontal="right"/>
    </xf>
    <xf numFmtId="192" fontId="16" fillId="0" borderId="0" xfId="0" applyNumberFormat="1" applyFont="1" applyBorder="1" applyAlignment="1">
      <alignment/>
    </xf>
    <xf numFmtId="177" fontId="16" fillId="0" borderId="0" xfId="0" applyNumberFormat="1" applyFont="1" applyAlignment="1">
      <alignment/>
    </xf>
    <xf numFmtId="165" fontId="15" fillId="0" borderId="0" xfId="0" applyNumberFormat="1" applyFont="1" applyFill="1" applyAlignment="1">
      <alignment horizontal="right"/>
    </xf>
    <xf numFmtId="165" fontId="15" fillId="0" borderId="0" xfId="0" applyNumberFormat="1" applyFont="1" applyFill="1" applyAlignment="1">
      <alignment horizontal="center"/>
    </xf>
    <xf numFmtId="0" fontId="15" fillId="0" borderId="0" xfId="0" applyFont="1" applyFill="1" applyAlignment="1">
      <alignment horizontal="center"/>
    </xf>
    <xf numFmtId="0" fontId="29" fillId="0" borderId="0" xfId="0" applyFont="1" applyFill="1" applyBorder="1" applyAlignment="1">
      <alignment wrapText="1"/>
    </xf>
    <xf numFmtId="166" fontId="16" fillId="0" borderId="0" xfId="0" applyNumberFormat="1" applyFont="1" applyFill="1" applyBorder="1" applyAlignment="1">
      <alignment/>
    </xf>
    <xf numFmtId="166" fontId="19" fillId="0" borderId="0" xfId="0" applyNumberFormat="1" applyFont="1" applyFill="1" applyBorder="1" applyAlignment="1">
      <alignment/>
    </xf>
    <xf numFmtId="175" fontId="16" fillId="0" borderId="0" xfId="0" applyNumberFormat="1" applyFont="1" applyFill="1" applyBorder="1" applyAlignment="1">
      <alignment horizontal="right" wrapText="1"/>
    </xf>
    <xf numFmtId="0" fontId="29" fillId="0" borderId="13" xfId="0" applyFont="1" applyBorder="1" applyAlignment="1">
      <alignment horizontal="right" wrapText="1"/>
    </xf>
    <xf numFmtId="0" fontId="19" fillId="2" borderId="5" xfId="16" applyFont="1" applyBorder="1" applyAlignment="1">
      <alignment horizontal="center"/>
      <protection/>
    </xf>
    <xf numFmtId="170" fontId="16" fillId="2" borderId="5" xfId="16" applyNumberFormat="1" applyFont="1" applyBorder="1">
      <alignment/>
      <protection/>
    </xf>
    <xf numFmtId="170" fontId="16" fillId="8" borderId="5" xfId="16" applyNumberFormat="1" applyFont="1" applyFill="1" applyBorder="1">
      <alignment/>
      <protection/>
    </xf>
    <xf numFmtId="0" fontId="16" fillId="2" borderId="21" xfId="16" applyFont="1" applyBorder="1" applyAlignment="1">
      <alignment vertical="top" wrapText="1"/>
      <protection/>
    </xf>
    <xf numFmtId="0" fontId="19" fillId="2" borderId="21" xfId="16" applyFont="1" applyBorder="1" applyAlignment="1">
      <alignment horizontal="center"/>
      <protection/>
    </xf>
    <xf numFmtId="166" fontId="16" fillId="2" borderId="17" xfId="16" applyNumberFormat="1" applyFont="1" applyBorder="1">
      <alignment/>
      <protection/>
    </xf>
    <xf numFmtId="0" fontId="19" fillId="2" borderId="22" xfId="16" applyFont="1" applyBorder="1" applyAlignment="1">
      <alignment horizontal="center"/>
      <protection/>
    </xf>
    <xf numFmtId="0" fontId="19" fillId="2" borderId="6" xfId="16" applyFont="1" applyBorder="1" applyAlignment="1">
      <alignment horizontal="center"/>
      <protection/>
    </xf>
    <xf numFmtId="0" fontId="16" fillId="8" borderId="6" xfId="16" applyFont="1" applyFill="1" applyBorder="1">
      <alignment/>
      <protection/>
    </xf>
    <xf numFmtId="170" fontId="16" fillId="2" borderId="6" xfId="16" applyNumberFormat="1" applyFont="1" applyBorder="1">
      <alignment/>
      <protection/>
    </xf>
    <xf numFmtId="170" fontId="16" fillId="8" borderId="6" xfId="16" applyNumberFormat="1" applyFont="1" applyFill="1" applyBorder="1">
      <alignment/>
      <protection/>
    </xf>
    <xf numFmtId="166" fontId="16" fillId="2" borderId="23" xfId="16" applyNumberFormat="1" applyFont="1" applyBorder="1">
      <alignment/>
      <protection/>
    </xf>
    <xf numFmtId="0" fontId="19" fillId="2" borderId="24" xfId="16" applyFont="1" applyBorder="1" applyAlignment="1">
      <alignment horizontal="center"/>
      <protection/>
    </xf>
    <xf numFmtId="0" fontId="16" fillId="8" borderId="24" xfId="16" applyFont="1" applyFill="1" applyBorder="1">
      <alignment/>
      <protection/>
    </xf>
    <xf numFmtId="170" fontId="16" fillId="2" borderId="24" xfId="16" applyNumberFormat="1" applyFont="1" applyBorder="1">
      <alignment/>
      <protection/>
    </xf>
    <xf numFmtId="170" fontId="16" fillId="8" borderId="24" xfId="16" applyNumberFormat="1" applyFont="1" applyFill="1" applyBorder="1">
      <alignment/>
      <protection/>
    </xf>
    <xf numFmtId="166" fontId="16" fillId="2" borderId="25" xfId="16" applyNumberFormat="1" applyFont="1" applyBorder="1">
      <alignment/>
      <protection/>
    </xf>
    <xf numFmtId="165" fontId="15" fillId="0" borderId="0" xfId="15" applyNumberFormat="1" applyFont="1" applyFill="1" applyBorder="1" applyAlignment="1">
      <alignment horizontal="center" vertical="center" wrapText="1"/>
    </xf>
    <xf numFmtId="9" fontId="16" fillId="0" borderId="0" xfId="27" applyFont="1" applyAlignment="1">
      <alignment/>
    </xf>
    <xf numFmtId="0" fontId="16" fillId="0" borderId="3" xfId="0" applyFont="1" applyBorder="1" applyAlignment="1">
      <alignment horizontal="center"/>
    </xf>
    <xf numFmtId="0" fontId="16" fillId="0" borderId="3" xfId="0" applyFont="1" applyBorder="1" applyAlignment="1">
      <alignment/>
    </xf>
    <xf numFmtId="0" fontId="16" fillId="0" borderId="13" xfId="0" applyFont="1" applyFill="1" applyBorder="1" applyAlignment="1">
      <alignment horizontal="center"/>
    </xf>
    <xf numFmtId="165" fontId="16" fillId="0" borderId="2" xfId="0" applyNumberFormat="1" applyFont="1" applyBorder="1" applyAlignment="1">
      <alignment/>
    </xf>
    <xf numFmtId="0" fontId="15" fillId="0" borderId="0" xfId="0" applyFont="1" applyFill="1" applyAlignment="1">
      <alignment horizontal="left"/>
    </xf>
    <xf numFmtId="1" fontId="16" fillId="0" borderId="0" xfId="0" applyNumberFormat="1" applyFont="1" applyFill="1" applyBorder="1" applyAlignment="1">
      <alignment/>
    </xf>
    <xf numFmtId="166" fontId="21" fillId="0" borderId="0" xfId="0" applyNumberFormat="1" applyFont="1" applyFill="1" applyAlignment="1">
      <alignment/>
    </xf>
    <xf numFmtId="165" fontId="29" fillId="0" borderId="0" xfId="0" applyNumberFormat="1" applyFont="1" applyFill="1" applyBorder="1" applyAlignment="1">
      <alignment wrapText="1"/>
    </xf>
    <xf numFmtId="174" fontId="15" fillId="0" borderId="0" xfId="0" applyNumberFormat="1" applyFont="1" applyFill="1" applyAlignment="1">
      <alignment horizontal="left"/>
    </xf>
    <xf numFmtId="10" fontId="21" fillId="6" borderId="0" xfId="23" applyNumberFormat="1" applyFont="1" applyFill="1">
      <alignment/>
      <protection/>
    </xf>
    <xf numFmtId="195" fontId="16" fillId="0" borderId="0" xfId="0" applyNumberFormat="1" applyFont="1" applyAlignment="1">
      <alignment/>
    </xf>
    <xf numFmtId="165" fontId="14" fillId="0" borderId="0" xfId="0" applyNumberFormat="1" applyFont="1" applyFill="1" applyAlignment="1">
      <alignment horizontal="center"/>
    </xf>
    <xf numFmtId="181" fontId="16" fillId="0" borderId="0" xfId="0" applyNumberFormat="1" applyFont="1" applyAlignment="1">
      <alignment/>
    </xf>
    <xf numFmtId="0" fontId="19" fillId="2" borderId="26" xfId="16" applyFont="1" applyBorder="1" applyAlignment="1">
      <alignment horizontal="center"/>
      <protection/>
    </xf>
    <xf numFmtId="0" fontId="17" fillId="0" borderId="0" xfId="0" applyFont="1" applyFill="1" applyAlignment="1">
      <alignment/>
    </xf>
    <xf numFmtId="1" fontId="16" fillId="0" borderId="0" xfId="0" applyNumberFormat="1" applyFont="1" applyFill="1" applyAlignment="1">
      <alignment/>
    </xf>
    <xf numFmtId="166" fontId="21" fillId="3" borderId="0" xfId="27" applyNumberFormat="1" applyFont="1" applyFill="1" applyAlignment="1">
      <alignment/>
    </xf>
    <xf numFmtId="10" fontId="16" fillId="0" borderId="13" xfId="27" applyNumberFormat="1" applyFont="1" applyBorder="1" applyAlignment="1">
      <alignment/>
    </xf>
    <xf numFmtId="10" fontId="19" fillId="8" borderId="0" xfId="27" applyNumberFormat="1" applyFont="1" applyFill="1" applyBorder="1" applyAlignment="1">
      <alignment/>
    </xf>
    <xf numFmtId="10" fontId="19" fillId="8" borderId="13" xfId="27" applyNumberFormat="1" applyFont="1" applyFill="1" applyBorder="1" applyAlignment="1">
      <alignment/>
    </xf>
    <xf numFmtId="177" fontId="16" fillId="0" borderId="9" xfId="0" applyNumberFormat="1" applyFont="1" applyBorder="1" applyAlignment="1">
      <alignment/>
    </xf>
    <xf numFmtId="177" fontId="16" fillId="0" borderId="0" xfId="0" applyNumberFormat="1" applyFont="1" applyBorder="1" applyAlignment="1">
      <alignment/>
    </xf>
    <xf numFmtId="177" fontId="19" fillId="0" borderId="9" xfId="0" applyNumberFormat="1" applyFont="1" applyBorder="1" applyAlignment="1">
      <alignment/>
    </xf>
    <xf numFmtId="2" fontId="15" fillId="0" borderId="0" xfId="0" applyNumberFormat="1" applyFont="1" applyFill="1" applyAlignment="1">
      <alignment horizontal="center"/>
    </xf>
    <xf numFmtId="165" fontId="15" fillId="11" borderId="0" xfId="15" applyNumberFormat="1" applyFont="1" applyFill="1" applyBorder="1" applyAlignment="1">
      <alignment horizontal="right" vertical="center"/>
    </xf>
    <xf numFmtId="43" fontId="16" fillId="0" borderId="0" xfId="17" applyFont="1" applyAlignment="1">
      <alignment/>
    </xf>
    <xf numFmtId="0" fontId="16" fillId="0" borderId="5" xfId="0" applyFont="1" applyBorder="1" applyAlignment="1">
      <alignment horizontal="center"/>
    </xf>
    <xf numFmtId="0" fontId="19" fillId="0" borderId="5" xfId="0" applyFont="1" applyBorder="1" applyAlignment="1">
      <alignment horizontal="center"/>
    </xf>
    <xf numFmtId="10" fontId="16" fillId="0" borderId="0" xfId="0" applyNumberFormat="1" applyFont="1" applyBorder="1" applyAlignment="1">
      <alignment/>
    </xf>
    <xf numFmtId="220" fontId="16" fillId="0" borderId="0" xfId="0" applyNumberFormat="1" applyFont="1" applyBorder="1" applyAlignment="1">
      <alignment/>
    </xf>
    <xf numFmtId="10" fontId="16" fillId="0" borderId="3" xfId="0" applyNumberFormat="1" applyFont="1" applyBorder="1" applyAlignment="1">
      <alignment/>
    </xf>
    <xf numFmtId="0" fontId="19" fillId="0" borderId="3" xfId="0" applyFont="1" applyBorder="1" applyAlignment="1">
      <alignment/>
    </xf>
    <xf numFmtId="177" fontId="19" fillId="0" borderId="10" xfId="0" applyNumberFormat="1" applyFont="1" applyBorder="1" applyAlignment="1">
      <alignment/>
    </xf>
    <xf numFmtId="177" fontId="16" fillId="0" borderId="2" xfId="0" applyNumberFormat="1" applyFont="1" applyBorder="1" applyAlignment="1">
      <alignment/>
    </xf>
    <xf numFmtId="220" fontId="16" fillId="0" borderId="2" xfId="0" applyNumberFormat="1" applyFont="1" applyBorder="1" applyAlignment="1">
      <alignment/>
    </xf>
    <xf numFmtId="179" fontId="16" fillId="0" borderId="2" xfId="0" applyNumberFormat="1" applyFont="1" applyBorder="1" applyAlignment="1">
      <alignment/>
    </xf>
    <xf numFmtId="188" fontId="16" fillId="0" borderId="2" xfId="0" applyNumberFormat="1" applyFont="1" applyBorder="1" applyAlignment="1">
      <alignment/>
    </xf>
    <xf numFmtId="188" fontId="16" fillId="0" borderId="12" xfId="0" applyNumberFormat="1" applyFont="1" applyBorder="1" applyAlignment="1">
      <alignment/>
    </xf>
    <xf numFmtId="0" fontId="16" fillId="0" borderId="7" xfId="0" applyFont="1" applyBorder="1" applyAlignment="1">
      <alignment horizontal="right" wrapText="1"/>
    </xf>
    <xf numFmtId="0" fontId="27" fillId="0" borderId="0" xfId="0" applyFont="1" applyFill="1" applyAlignment="1">
      <alignment/>
    </xf>
    <xf numFmtId="0" fontId="18" fillId="0" borderId="0" xfId="0" applyFont="1" applyFill="1" applyAlignment="1">
      <alignment/>
    </xf>
    <xf numFmtId="0" fontId="15" fillId="0" borderId="8" xfId="0" applyFont="1" applyFill="1" applyBorder="1" applyAlignment="1">
      <alignment/>
    </xf>
    <xf numFmtId="0" fontId="15" fillId="0" borderId="10" xfId="0" applyFont="1" applyFill="1" applyBorder="1" applyAlignment="1">
      <alignment/>
    </xf>
    <xf numFmtId="0" fontId="15" fillId="0" borderId="6" xfId="0" applyFont="1" applyFill="1" applyBorder="1" applyAlignment="1">
      <alignment/>
    </xf>
    <xf numFmtId="0" fontId="15" fillId="0" borderId="9" xfId="0" applyFont="1" applyFill="1" applyBorder="1" applyAlignment="1">
      <alignment/>
    </xf>
    <xf numFmtId="165" fontId="15" fillId="0" borderId="0" xfId="0" applyNumberFormat="1" applyFont="1" applyFill="1" applyAlignment="1">
      <alignment horizontal="left"/>
    </xf>
    <xf numFmtId="0" fontId="31" fillId="0" borderId="0" xfId="22" applyFont="1" applyFill="1" applyAlignment="1">
      <alignment/>
    </xf>
    <xf numFmtId="195" fontId="16" fillId="0" borderId="2" xfId="0" applyNumberFormat="1" applyFont="1" applyFill="1" applyBorder="1" applyAlignment="1">
      <alignment/>
    </xf>
    <xf numFmtId="165" fontId="16" fillId="0" borderId="19" xfId="15" applyNumberFormat="1" applyFont="1" applyFill="1" applyBorder="1" applyAlignment="1">
      <alignment vertical="center" wrapText="1"/>
    </xf>
    <xf numFmtId="165" fontId="16" fillId="0" borderId="20" xfId="15" applyNumberFormat="1" applyFont="1" applyFill="1" applyBorder="1" applyAlignment="1">
      <alignment vertical="center" wrapText="1"/>
    </xf>
    <xf numFmtId="165" fontId="19" fillId="0" borderId="8" xfId="15" applyNumberFormat="1" applyFont="1" applyFill="1" applyBorder="1" applyAlignment="1">
      <alignment horizontal="center" vertical="center" wrapText="1"/>
    </xf>
    <xf numFmtId="165" fontId="16" fillId="0" borderId="0" xfId="15" applyNumberFormat="1" applyFont="1" applyFill="1" applyBorder="1" applyAlignment="1">
      <alignment vertical="center"/>
    </xf>
    <xf numFmtId="166" fontId="19" fillId="0" borderId="0" xfId="27" applyNumberFormat="1" applyFont="1" applyFill="1" applyBorder="1" applyAlignment="1" quotePrefix="1">
      <alignment/>
    </xf>
    <xf numFmtId="43" fontId="16" fillId="0" borderId="0" xfId="17" applyFont="1" applyFill="1" applyBorder="1" applyAlignment="1">
      <alignment/>
    </xf>
    <xf numFmtId="165" fontId="15" fillId="9" borderId="5" xfId="15" applyNumberFormat="1" applyFont="1" applyFill="1" applyBorder="1" applyAlignment="1">
      <alignment horizontal="right" vertical="center"/>
    </xf>
    <xf numFmtId="165" fontId="14" fillId="9" borderId="5" xfId="15" applyNumberFormat="1" applyFont="1" applyFill="1" applyBorder="1" applyAlignment="1">
      <alignment horizontal="right" vertical="center"/>
    </xf>
    <xf numFmtId="166" fontId="16" fillId="0" borderId="0" xfId="0" applyNumberFormat="1" applyFont="1" applyFill="1" applyAlignment="1">
      <alignment/>
    </xf>
    <xf numFmtId="1" fontId="16" fillId="0" borderId="13" xfId="0" applyNumberFormat="1" applyFont="1" applyFill="1" applyBorder="1" applyAlignment="1">
      <alignment/>
    </xf>
    <xf numFmtId="0" fontId="16" fillId="0" borderId="12" xfId="0" applyFont="1" applyFill="1" applyBorder="1" applyAlignment="1">
      <alignment/>
    </xf>
    <xf numFmtId="2" fontId="21" fillId="0" borderId="0" xfId="23" applyNumberFormat="1" applyFont="1" applyFill="1">
      <alignment/>
      <protection/>
    </xf>
    <xf numFmtId="167" fontId="16" fillId="0" borderId="0" xfId="0" applyNumberFormat="1" applyFont="1" applyFill="1" applyBorder="1" applyAlignment="1">
      <alignment/>
    </xf>
    <xf numFmtId="167" fontId="16" fillId="0" borderId="0" xfId="0" applyNumberFormat="1" applyFont="1" applyBorder="1" applyAlignment="1">
      <alignment/>
    </xf>
    <xf numFmtId="168" fontId="16" fillId="4" borderId="0" xfId="0" applyNumberFormat="1" applyFont="1" applyFill="1" applyAlignment="1">
      <alignment/>
    </xf>
    <xf numFmtId="0" fontId="30"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vertical="center" wrapText="1"/>
    </xf>
    <xf numFmtId="0" fontId="39" fillId="0" borderId="0" xfId="22" applyFont="1" applyFill="1" applyAlignment="1">
      <alignment/>
    </xf>
    <xf numFmtId="0" fontId="40" fillId="12" borderId="0" xfId="0" applyFont="1" applyFill="1" applyAlignment="1">
      <alignment/>
    </xf>
    <xf numFmtId="0" fontId="41" fillId="12" borderId="0" xfId="0" applyFont="1" applyFill="1" applyAlignment="1">
      <alignment/>
    </xf>
    <xf numFmtId="0" fontId="42" fillId="0" borderId="0" xfId="0" applyFont="1" applyAlignment="1">
      <alignment vertical="center"/>
    </xf>
    <xf numFmtId="0" fontId="29" fillId="0" borderId="0" xfId="0" applyFont="1" applyAlignment="1">
      <alignment vertical="center"/>
    </xf>
    <xf numFmtId="0" fontId="29" fillId="0" borderId="0" xfId="0" applyFont="1" applyBorder="1" applyAlignment="1">
      <alignment vertical="center"/>
    </xf>
    <xf numFmtId="0" fontId="43" fillId="0" borderId="0" xfId="0" applyFont="1" applyBorder="1" applyAlignment="1">
      <alignment vertical="center"/>
    </xf>
    <xf numFmtId="0" fontId="29" fillId="0" borderId="0" xfId="0" applyFont="1" applyAlignment="1">
      <alignment horizontal="center" vertical="center"/>
    </xf>
    <xf numFmtId="0" fontId="23" fillId="0" borderId="0" xfId="28" applyFont="1">
      <alignment/>
      <protection/>
    </xf>
    <xf numFmtId="0" fontId="44" fillId="0" borderId="0" xfId="0" applyFont="1" applyBorder="1" applyAlignment="1">
      <alignment vertical="center"/>
    </xf>
    <xf numFmtId="0" fontId="34" fillId="0" borderId="0" xfId="0" applyFont="1" applyFill="1" applyAlignment="1">
      <alignment/>
    </xf>
    <xf numFmtId="167" fontId="16" fillId="0" borderId="1" xfId="0" applyNumberFormat="1" applyFont="1" applyFill="1" applyBorder="1" applyAlignment="1">
      <alignment/>
    </xf>
    <xf numFmtId="168" fontId="19" fillId="0" borderId="27" xfId="0" applyNumberFormat="1" applyFont="1" applyFill="1" applyBorder="1" applyAlignment="1">
      <alignment/>
    </xf>
    <xf numFmtId="168" fontId="16" fillId="0" borderId="27" xfId="0" applyNumberFormat="1" applyFont="1" applyFill="1" applyBorder="1" applyAlignment="1">
      <alignment/>
    </xf>
    <xf numFmtId="10" fontId="16" fillId="0" borderId="0" xfId="0" applyNumberFormat="1" applyFont="1" applyFill="1" applyBorder="1" applyAlignment="1">
      <alignment/>
    </xf>
    <xf numFmtId="166" fontId="16"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165" fontId="16" fillId="0" borderId="0" xfId="0" applyNumberFormat="1" applyFont="1" applyFill="1" applyBorder="1" applyAlignment="1">
      <alignment horizontal="right"/>
    </xf>
    <xf numFmtId="165" fontId="16" fillId="0" borderId="0" xfId="0" applyNumberFormat="1" applyFont="1" applyFill="1" applyAlignment="1">
      <alignment horizontal="right"/>
    </xf>
    <xf numFmtId="165" fontId="19" fillId="0" borderId="0" xfId="0" applyNumberFormat="1" applyFont="1" applyFill="1" applyBorder="1" applyAlignment="1">
      <alignment/>
    </xf>
    <xf numFmtId="165" fontId="19" fillId="0" borderId="0" xfId="0" applyNumberFormat="1" applyFont="1" applyFill="1" applyAlignment="1">
      <alignment/>
    </xf>
    <xf numFmtId="0" fontId="16" fillId="0" borderId="0" xfId="0" applyFont="1" applyFill="1" applyBorder="1" applyAlignment="1">
      <alignment wrapText="1"/>
    </xf>
    <xf numFmtId="0" fontId="16" fillId="0" borderId="28" xfId="0" applyFont="1" applyFill="1" applyBorder="1" applyAlignment="1">
      <alignment horizontal="right"/>
    </xf>
    <xf numFmtId="0" fontId="16" fillId="0" borderId="29" xfId="0" applyFont="1" applyFill="1" applyBorder="1" applyAlignment="1">
      <alignment horizontal="right"/>
    </xf>
    <xf numFmtId="0" fontId="16" fillId="0" borderId="30" xfId="0" applyFont="1" applyFill="1" applyBorder="1" applyAlignment="1">
      <alignment horizontal="right"/>
    </xf>
    <xf numFmtId="164" fontId="16" fillId="0" borderId="0" xfId="0" applyNumberFormat="1" applyFont="1" applyFill="1" applyAlignment="1">
      <alignment/>
    </xf>
    <xf numFmtId="0" fontId="19" fillId="0" borderId="0" xfId="25" applyFont="1" applyAlignment="1">
      <alignment horizontal="center"/>
      <protection/>
    </xf>
    <xf numFmtId="0" fontId="19" fillId="0" borderId="0" xfId="24" applyFont="1" applyAlignment="1">
      <alignment horizontal="center"/>
      <protection/>
    </xf>
    <xf numFmtId="171" fontId="15" fillId="0" borderId="0" xfId="0" applyNumberFormat="1" applyFont="1" applyAlignment="1">
      <alignment/>
    </xf>
    <xf numFmtId="171" fontId="16" fillId="0" borderId="0" xfId="0" applyNumberFormat="1" applyFont="1" applyAlignment="1">
      <alignment/>
    </xf>
    <xf numFmtId="0" fontId="19" fillId="10" borderId="0" xfId="0" applyFont="1" applyFill="1" applyAlignment="1">
      <alignment/>
    </xf>
    <xf numFmtId="0" fontId="15" fillId="10" borderId="0" xfId="0" applyFont="1" applyFill="1" applyAlignment="1">
      <alignment/>
    </xf>
    <xf numFmtId="171" fontId="15" fillId="10" borderId="0" xfId="0" applyNumberFormat="1" applyFont="1" applyFill="1" applyAlignment="1">
      <alignment/>
    </xf>
    <xf numFmtId="166" fontId="15" fillId="0" borderId="0" xfId="0" applyNumberFormat="1" applyFont="1" applyAlignment="1">
      <alignment/>
    </xf>
    <xf numFmtId="0" fontId="16" fillId="10" borderId="0" xfId="0" applyFont="1" applyFill="1" applyAlignment="1">
      <alignment/>
    </xf>
    <xf numFmtId="169" fontId="15" fillId="10" borderId="0" xfId="0" applyNumberFormat="1" applyFont="1" applyFill="1" applyAlignment="1">
      <alignment/>
    </xf>
    <xf numFmtId="0" fontId="19" fillId="0" borderId="0" xfId="25" applyFont="1" applyFill="1">
      <alignment/>
      <protection/>
    </xf>
    <xf numFmtId="0" fontId="16" fillId="10" borderId="0" xfId="25" applyFont="1" applyFill="1">
      <alignment/>
      <protection/>
    </xf>
    <xf numFmtId="0" fontId="15" fillId="0" borderId="0" xfId="25" applyFont="1" applyFill="1">
      <alignment/>
      <protection/>
    </xf>
    <xf numFmtId="169" fontId="15" fillId="0" borderId="0" xfId="0" applyNumberFormat="1" applyFont="1" applyAlignment="1">
      <alignment/>
    </xf>
    <xf numFmtId="0" fontId="15" fillId="6" borderId="0" xfId="0" applyFont="1" applyFill="1" applyAlignment="1">
      <alignment/>
    </xf>
    <xf numFmtId="169" fontId="15" fillId="6" borderId="0" xfId="0" applyNumberFormat="1" applyFont="1" applyFill="1" applyAlignment="1">
      <alignment/>
    </xf>
    <xf numFmtId="171" fontId="15" fillId="6" borderId="0" xfId="0" applyNumberFormat="1" applyFont="1" applyFill="1" applyAlignment="1">
      <alignment/>
    </xf>
    <xf numFmtId="171" fontId="15" fillId="4" borderId="0" xfId="0" applyNumberFormat="1" applyFont="1" applyFill="1" applyAlignment="1">
      <alignment/>
    </xf>
    <xf numFmtId="171" fontId="15" fillId="0" borderId="0" xfId="0" applyNumberFormat="1" applyFont="1" applyFill="1" applyAlignment="1">
      <alignment/>
    </xf>
    <xf numFmtId="0" fontId="15" fillId="7" borderId="0" xfId="0" applyFont="1" applyFill="1" applyAlignment="1">
      <alignment/>
    </xf>
    <xf numFmtId="169" fontId="15" fillId="7" borderId="0" xfId="0" applyNumberFormat="1" applyFont="1" applyFill="1" applyAlignment="1">
      <alignment/>
    </xf>
    <xf numFmtId="171" fontId="15" fillId="7" borderId="0" xfId="0" applyNumberFormat="1" applyFont="1" applyFill="1" applyAlignment="1">
      <alignment/>
    </xf>
    <xf numFmtId="169" fontId="15" fillId="0" borderId="0" xfId="0" applyNumberFormat="1" applyFont="1" applyFill="1" applyAlignment="1">
      <alignment/>
    </xf>
    <xf numFmtId="165" fontId="16" fillId="4" borderId="0" xfId="0" applyNumberFormat="1" applyFont="1" applyFill="1" applyAlignment="1">
      <alignment/>
    </xf>
    <xf numFmtId="0" fontId="15" fillId="8" borderId="0" xfId="0" applyFont="1" applyFill="1" applyAlignment="1">
      <alignment/>
    </xf>
    <xf numFmtId="169" fontId="15" fillId="8" borderId="0" xfId="0" applyNumberFormat="1" applyFont="1" applyFill="1" applyAlignment="1">
      <alignment/>
    </xf>
    <xf numFmtId="171" fontId="15" fillId="8" borderId="0" xfId="0" applyNumberFormat="1" applyFont="1" applyFill="1" applyAlignment="1">
      <alignment/>
    </xf>
    <xf numFmtId="10" fontId="15" fillId="8" borderId="0" xfId="0" applyNumberFormat="1" applyFont="1" applyFill="1" applyAlignment="1">
      <alignment/>
    </xf>
    <xf numFmtId="173" fontId="16" fillId="8" borderId="0" xfId="0" applyNumberFormat="1" applyFont="1" applyFill="1" applyAlignment="1">
      <alignment/>
    </xf>
    <xf numFmtId="165" fontId="15" fillId="0" borderId="0" xfId="0" applyNumberFormat="1" applyFont="1" applyFill="1" applyAlignment="1">
      <alignment/>
    </xf>
    <xf numFmtId="166" fontId="16" fillId="8" borderId="0" xfId="0" applyNumberFormat="1" applyFont="1" applyFill="1" applyAlignment="1">
      <alignment/>
    </xf>
    <xf numFmtId="0" fontId="16" fillId="4" borderId="0" xfId="0" applyFont="1" applyFill="1" applyAlignment="1">
      <alignment/>
    </xf>
    <xf numFmtId="2" fontId="16" fillId="4" borderId="0" xfId="0" applyNumberFormat="1" applyFont="1" applyFill="1" applyAlignment="1">
      <alignment/>
    </xf>
    <xf numFmtId="0" fontId="15" fillId="4" borderId="0" xfId="0" applyFont="1" applyFill="1" applyAlignment="1">
      <alignment/>
    </xf>
    <xf numFmtId="165" fontId="15" fillId="4" borderId="0" xfId="0" applyNumberFormat="1" applyFont="1" applyFill="1" applyAlignment="1">
      <alignment/>
    </xf>
    <xf numFmtId="173" fontId="16" fillId="0" borderId="0" xfId="0" applyNumberFormat="1" applyFont="1" applyAlignment="1">
      <alignment/>
    </xf>
    <xf numFmtId="0" fontId="16" fillId="8" borderId="0" xfId="0" applyFont="1" applyFill="1" applyAlignment="1">
      <alignment/>
    </xf>
    <xf numFmtId="165" fontId="16" fillId="6" borderId="0" xfId="0" applyNumberFormat="1" applyFont="1" applyFill="1" applyAlignment="1">
      <alignment/>
    </xf>
    <xf numFmtId="165" fontId="16" fillId="8" borderId="0" xfId="0" applyNumberFormat="1" applyFont="1" applyFill="1" applyAlignment="1">
      <alignment/>
    </xf>
    <xf numFmtId="165" fontId="16" fillId="11" borderId="0" xfId="0" applyNumberFormat="1" applyFont="1" applyFill="1" applyAlignment="1">
      <alignment/>
    </xf>
    <xf numFmtId="165" fontId="15" fillId="0" borderId="0" xfId="0" applyNumberFormat="1" applyFont="1" applyFill="1" applyAlignment="1" quotePrefix="1">
      <alignment/>
    </xf>
    <xf numFmtId="165" fontId="16" fillId="4" borderId="0" xfId="0" applyNumberFormat="1" applyFont="1" applyFill="1" applyAlignment="1">
      <alignment horizontal="right"/>
    </xf>
    <xf numFmtId="172" fontId="15" fillId="0" borderId="0" xfId="0" applyNumberFormat="1" applyFont="1" applyAlignment="1">
      <alignment/>
    </xf>
    <xf numFmtId="2" fontId="15" fillId="10" borderId="0" xfId="0" applyNumberFormat="1" applyFont="1" applyFill="1" applyAlignment="1">
      <alignment/>
    </xf>
    <xf numFmtId="0" fontId="14" fillId="0" borderId="0" xfId="25" applyFont="1" applyAlignment="1">
      <alignment horizontal="center"/>
      <protection/>
    </xf>
    <xf numFmtId="0" fontId="14" fillId="0" borderId="0" xfId="24" applyFont="1" applyAlignment="1">
      <alignment horizontal="center"/>
      <protection/>
    </xf>
    <xf numFmtId="0" fontId="14" fillId="10" borderId="0" xfId="0" applyFont="1" applyFill="1" applyAlignment="1">
      <alignment/>
    </xf>
    <xf numFmtId="0" fontId="14" fillId="0" borderId="0" xfId="25" applyFont="1" applyFill="1">
      <alignment/>
      <protection/>
    </xf>
    <xf numFmtId="0" fontId="15" fillId="10" borderId="0" xfId="25" applyFont="1" applyFill="1">
      <alignment/>
      <protection/>
    </xf>
    <xf numFmtId="171" fontId="14" fillId="3" borderId="0" xfId="0" applyNumberFormat="1" applyFont="1" applyFill="1" applyAlignment="1">
      <alignment/>
    </xf>
    <xf numFmtId="173" fontId="15" fillId="8" borderId="0" xfId="0" applyNumberFormat="1" applyFont="1" applyFill="1" applyAlignment="1">
      <alignment/>
    </xf>
    <xf numFmtId="166" fontId="15" fillId="8" borderId="0" xfId="0" applyNumberFormat="1" applyFont="1" applyFill="1" applyAlignment="1">
      <alignment/>
    </xf>
    <xf numFmtId="173" fontId="15" fillId="0" borderId="0" xfId="0" applyNumberFormat="1" applyFont="1" applyAlignment="1">
      <alignment/>
    </xf>
    <xf numFmtId="2" fontId="15" fillId="4" borderId="0" xfId="0" applyNumberFormat="1" applyFont="1" applyFill="1" applyAlignment="1">
      <alignment/>
    </xf>
    <xf numFmtId="165" fontId="45" fillId="0" borderId="0" xfId="23" applyNumberFormat="1" applyFont="1" applyFill="1">
      <alignment/>
      <protection/>
    </xf>
    <xf numFmtId="165" fontId="45" fillId="5" borderId="0" xfId="23" applyNumberFormat="1" applyFont="1" applyFill="1">
      <alignment/>
      <protection/>
    </xf>
    <xf numFmtId="165" fontId="15" fillId="6" borderId="0" xfId="0" applyNumberFormat="1" applyFont="1" applyFill="1" applyAlignment="1">
      <alignment/>
    </xf>
    <xf numFmtId="165" fontId="15" fillId="8" borderId="0" xfId="0" applyNumberFormat="1" applyFont="1" applyFill="1" applyAlignment="1">
      <alignment/>
    </xf>
    <xf numFmtId="0" fontId="15" fillId="0" borderId="0" xfId="0" applyFont="1" applyFill="1" applyBorder="1" applyAlignment="1">
      <alignment/>
    </xf>
    <xf numFmtId="0" fontId="15" fillId="13" borderId="0" xfId="0" applyFont="1" applyFill="1" applyAlignment="1">
      <alignment/>
    </xf>
    <xf numFmtId="0" fontId="15" fillId="13" borderId="0" xfId="0" applyFont="1" applyFill="1" applyAlignment="1">
      <alignment horizontal="right" wrapText="1"/>
    </xf>
    <xf numFmtId="10" fontId="15" fillId="13" borderId="0" xfId="0" applyNumberFormat="1" applyFont="1" applyFill="1" applyAlignment="1">
      <alignment horizontal="right" wrapText="1"/>
    </xf>
    <xf numFmtId="182" fontId="15" fillId="13" borderId="0" xfId="0" applyNumberFormat="1" applyFont="1" applyFill="1" applyAlignment="1">
      <alignment/>
    </xf>
    <xf numFmtId="0" fontId="15" fillId="13" borderId="0" xfId="0" applyFont="1" applyFill="1" applyBorder="1" applyAlignment="1">
      <alignment/>
    </xf>
    <xf numFmtId="0" fontId="14" fillId="13" borderId="0" xfId="0" applyFont="1" applyFill="1" applyBorder="1" applyAlignment="1">
      <alignment horizontal="center"/>
    </xf>
    <xf numFmtId="165" fontId="15" fillId="13" borderId="0" xfId="0" applyNumberFormat="1" applyFont="1" applyFill="1" applyBorder="1" applyAlignment="1">
      <alignment/>
    </xf>
    <xf numFmtId="2" fontId="15" fillId="13" borderId="0" xfId="0" applyNumberFormat="1" applyFont="1" applyFill="1" applyBorder="1" applyAlignment="1">
      <alignment/>
    </xf>
    <xf numFmtId="0" fontId="46" fillId="0" borderId="0" xfId="0" applyFont="1" applyFill="1" applyAlignment="1">
      <alignment/>
    </xf>
    <xf numFmtId="0" fontId="15" fillId="5" borderId="0" xfId="0" applyFont="1" applyFill="1" applyAlignment="1">
      <alignment/>
    </xf>
    <xf numFmtId="185" fontId="16" fillId="0" borderId="0" xfId="0" applyNumberFormat="1" applyFont="1" applyAlignment="1">
      <alignment/>
    </xf>
    <xf numFmtId="168" fontId="19" fillId="3" borderId="0" xfId="0" applyNumberFormat="1" applyFont="1" applyFill="1" applyAlignment="1">
      <alignment/>
    </xf>
    <xf numFmtId="168" fontId="47" fillId="0" borderId="0" xfId="0" applyNumberFormat="1" applyFont="1" applyAlignment="1">
      <alignment horizontal="right"/>
    </xf>
    <xf numFmtId="164" fontId="16" fillId="0" borderId="0" xfId="0" applyNumberFormat="1" applyFont="1" applyBorder="1" applyAlignment="1">
      <alignment/>
    </xf>
    <xf numFmtId="0" fontId="22" fillId="0" borderId="0" xfId="0" applyFont="1" applyFill="1" applyAlignment="1">
      <alignment/>
    </xf>
    <xf numFmtId="164" fontId="16" fillId="0" borderId="0" xfId="0" applyNumberFormat="1" applyFont="1" applyAlignment="1">
      <alignment/>
    </xf>
    <xf numFmtId="0" fontId="15" fillId="0" borderId="6" xfId="0" applyFont="1" applyBorder="1" applyAlignment="1">
      <alignment horizontal="center"/>
    </xf>
    <xf numFmtId="0" fontId="15" fillId="0" borderId="1" xfId="0" applyFont="1" applyBorder="1" applyAlignment="1">
      <alignment horizontal="center"/>
    </xf>
    <xf numFmtId="0" fontId="15" fillId="0" borderId="18" xfId="0" applyFont="1" applyBorder="1" applyAlignment="1">
      <alignment horizontal="center"/>
    </xf>
    <xf numFmtId="0" fontId="15" fillId="3" borderId="6" xfId="0" applyFont="1" applyFill="1" applyBorder="1" applyAlignment="1">
      <alignment horizontal="center"/>
    </xf>
    <xf numFmtId="0" fontId="15" fillId="3" borderId="1" xfId="0" applyFont="1" applyFill="1" applyBorder="1" applyAlignment="1">
      <alignment horizontal="center"/>
    </xf>
    <xf numFmtId="0" fontId="15" fillId="3" borderId="18" xfId="0" applyFont="1" applyFill="1" applyBorder="1" applyAlignment="1">
      <alignment horizontal="center"/>
    </xf>
    <xf numFmtId="0" fontId="15" fillId="3" borderId="19" xfId="0" applyFont="1" applyFill="1" applyBorder="1" applyAlignment="1">
      <alignment horizontal="center" textRotation="90"/>
    </xf>
    <xf numFmtId="0" fontId="15" fillId="3" borderId="20" xfId="0" applyFont="1" applyFill="1" applyBorder="1" applyAlignment="1">
      <alignment horizontal="center" textRotation="90"/>
    </xf>
    <xf numFmtId="0" fontId="15" fillId="3" borderId="11" xfId="0" applyFont="1" applyFill="1" applyBorder="1" applyAlignment="1">
      <alignment horizontal="center" textRotation="90"/>
    </xf>
    <xf numFmtId="0" fontId="19" fillId="0" borderId="6" xfId="0" applyFont="1" applyFill="1" applyBorder="1" applyAlignment="1">
      <alignment horizontal="center"/>
    </xf>
    <xf numFmtId="0" fontId="19" fillId="0" borderId="1" xfId="0" applyFont="1" applyFill="1" applyBorder="1" applyAlignment="1">
      <alignment horizontal="center"/>
    </xf>
    <xf numFmtId="0" fontId="19" fillId="0" borderId="18" xfId="0" applyFont="1" applyFill="1" applyBorder="1" applyAlignment="1">
      <alignment horizontal="center"/>
    </xf>
  </cellXfs>
  <cellStyles count="14">
    <cellStyle name="Normal" xfId="0"/>
    <cellStyle name="=C:\WINNT\SYSTEM32\COMMAND.COM" xfId="16"/>
    <cellStyle name="Comma" xfId="17"/>
    <cellStyle name="Comma [0]" xfId="18"/>
    <cellStyle name="Currency" xfId="19"/>
    <cellStyle name="Currency [0]" xfId="20"/>
    <cellStyle name="Followed Hyperlink" xfId="21"/>
    <cellStyle name="Hyperlink" xfId="22"/>
    <cellStyle name="InputData" xfId="23"/>
    <cellStyle name="Normal_FBPQ_data_links" xfId="24"/>
    <cellStyle name="Normal_HBPQ_data_links" xfId="25"/>
    <cellStyle name="Normal_NGN version of allowances" xfId="26"/>
    <cellStyle name="Percent" xfId="27"/>
    <cellStyle name="RangeName"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chartsheet" Target="chartsheets/sheet1.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35"/>
          <c:w val="0.9785"/>
          <c:h val="0.95525"/>
        </c:manualLayout>
      </c:layout>
      <c:barChart>
        <c:barDir val="col"/>
        <c:grouping val="stacked"/>
        <c:varyColors val="0"/>
        <c:ser>
          <c:idx val="4"/>
          <c:order val="0"/>
          <c:tx>
            <c:strRef>
              <c:f>'Breakdown output all DNs'!$K$244:$K$245</c:f>
              <c:strCache>
                <c:ptCount val="1"/>
                <c:pt idx="0">
                  <c:v>Invisible column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'Breakdown output all DNs'!$A$246:$A$255</c:f>
              <c:strCache>
                <c:ptCount val="10"/>
                <c:pt idx="0">
                  <c:v>Controllables (including pensions)</c:v>
                </c:pt>
                <c:pt idx="1">
                  <c:v>Non controllables and pension deficit closure</c:v>
                </c:pt>
                <c:pt idx="2">
                  <c:v>Mains and services repex</c:v>
                </c:pt>
                <c:pt idx="3">
                  <c:v>Other capex and repex</c:v>
                </c:pt>
                <c:pt idx="4">
                  <c:v>Unwind of capex incentive penalty (pot 2)</c:v>
                </c:pt>
                <c:pt idx="5">
                  <c:v>Additional income from IQI</c:v>
                </c:pt>
                <c:pt idx="6">
                  <c:v>Total - costs</c:v>
                </c:pt>
                <c:pt idx="7">
                  <c:v>Tax</c:v>
                </c:pt>
                <c:pt idx="8">
                  <c:v>Change in return on capital</c:v>
                </c:pt>
                <c:pt idx="9">
                  <c:v>Total - costs, tax and return on capital</c:v>
                </c:pt>
              </c:strCache>
            </c:strRef>
          </c:cat>
          <c:val>
            <c:numRef>
              <c:f>'Breakdown output all DNs'!$K$246:$K$255</c:f>
              <c:numCache>
                <c:ptCount val="10"/>
                <c:pt idx="1">
                  <c:v>-0.0034003254219360235</c:v>
                </c:pt>
                <c:pt idx="2">
                  <c:v>0</c:v>
                </c:pt>
                <c:pt idx="3">
                  <c:v>0.007816348528924544</c:v>
                </c:pt>
                <c:pt idx="4">
                  <c:v>0.013744131326905662</c:v>
                </c:pt>
                <c:pt idx="5">
                  <c:v>0.01702420359530954</c:v>
                </c:pt>
                <c:pt idx="7">
                  <c:v>0.017998428547825518</c:v>
                </c:pt>
                <c:pt idx="8">
                  <c:v>0.013045175775045936</c:v>
                </c:pt>
              </c:numCache>
            </c:numRef>
          </c:val>
        </c:ser>
        <c:ser>
          <c:idx val="0"/>
          <c:order val="1"/>
          <c:tx>
            <c:strRef>
              <c:f>'Breakdown output all DNs'!$L$244:$L$245</c:f>
              <c:strCache>
                <c:ptCount val="1"/>
                <c:pt idx="0">
                  <c:v>Increase column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'Breakdown output all DNs'!$A$246:$A$255</c:f>
              <c:strCache>
                <c:ptCount val="10"/>
                <c:pt idx="0">
                  <c:v>Controllables (including pensions)</c:v>
                </c:pt>
                <c:pt idx="1">
                  <c:v>Non controllables and pension deficit closure</c:v>
                </c:pt>
                <c:pt idx="2">
                  <c:v>Mains and services repex</c:v>
                </c:pt>
                <c:pt idx="3">
                  <c:v>Other capex and repex</c:v>
                </c:pt>
                <c:pt idx="4">
                  <c:v>Unwind of capex incentive penalty (pot 2)</c:v>
                </c:pt>
                <c:pt idx="5">
                  <c:v>Additional income from IQI</c:v>
                </c:pt>
                <c:pt idx="6">
                  <c:v>Total - costs</c:v>
                </c:pt>
                <c:pt idx="7">
                  <c:v>Tax</c:v>
                </c:pt>
                <c:pt idx="8">
                  <c:v>Change in return on capital</c:v>
                </c:pt>
                <c:pt idx="9">
                  <c:v>Total - costs, tax and return on capital</c:v>
                </c:pt>
              </c:strCache>
            </c:strRef>
          </c:cat>
          <c:val>
            <c:numRef>
              <c:f>'Breakdown output all DNs'!$L$246:$L$255</c:f>
              <c:numCache>
                <c:ptCount val="10"/>
                <c:pt idx="0">
                  <c:v>0</c:v>
                </c:pt>
                <c:pt idx="1">
                  <c:v>0</c:v>
                </c:pt>
                <c:pt idx="2">
                  <c:v>0</c:v>
                </c:pt>
                <c:pt idx="3">
                  <c:v>0.005927782797981118</c:v>
                </c:pt>
                <c:pt idx="4">
                  <c:v>0.0032800722684038774</c:v>
                </c:pt>
                <c:pt idx="5">
                  <c:v>0.0009742249525159785</c:v>
                </c:pt>
                <c:pt idx="6">
                  <c:v>0</c:v>
                </c:pt>
                <c:pt idx="7">
                  <c:v>0.0016887021351907894</c:v>
                </c:pt>
                <c:pt idx="8">
                  <c:v>0</c:v>
                </c:pt>
                <c:pt idx="9">
                  <c:v>5.311287985654278E-05</c:v>
                </c:pt>
              </c:numCache>
            </c:numRef>
          </c:val>
        </c:ser>
        <c:ser>
          <c:idx val="1"/>
          <c:order val="2"/>
          <c:tx>
            <c:strRef>
              <c:f>'Breakdown output all DNs'!$M$244:$M$245</c:f>
              <c:strCache>
                <c:ptCount val="1"/>
                <c:pt idx="0">
                  <c:v>First column</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'Breakdown output all DNs'!$A$246:$A$255</c:f>
              <c:strCache>
                <c:ptCount val="10"/>
                <c:pt idx="0">
                  <c:v>Controllables (including pensions)</c:v>
                </c:pt>
                <c:pt idx="1">
                  <c:v>Non controllables and pension deficit closure</c:v>
                </c:pt>
                <c:pt idx="2">
                  <c:v>Mains and services repex</c:v>
                </c:pt>
                <c:pt idx="3">
                  <c:v>Other capex and repex</c:v>
                </c:pt>
                <c:pt idx="4">
                  <c:v>Unwind of capex incentive penalty (pot 2)</c:v>
                </c:pt>
                <c:pt idx="5">
                  <c:v>Additional income from IQI</c:v>
                </c:pt>
                <c:pt idx="6">
                  <c:v>Total - costs</c:v>
                </c:pt>
                <c:pt idx="7">
                  <c:v>Tax</c:v>
                </c:pt>
                <c:pt idx="8">
                  <c:v>Change in return on capital</c:v>
                </c:pt>
                <c:pt idx="9">
                  <c:v>Total - costs, tax and return on capital</c:v>
                </c:pt>
              </c:strCache>
            </c:strRef>
          </c:cat>
          <c:val>
            <c:numRef>
              <c:f>'Breakdown output all DNs'!$M$246:$M$255</c:f>
              <c:numCache>
                <c:ptCount val="10"/>
                <c:pt idx="0">
                  <c:v>-0.0034003254219360235</c:v>
                </c:pt>
              </c:numCache>
            </c:numRef>
          </c:val>
        </c:ser>
        <c:ser>
          <c:idx val="7"/>
          <c:order val="3"/>
          <c:tx>
            <c:strRef>
              <c:f>'Breakdown output all DNs'!$O$244:$O$245</c:f>
              <c:strCache>
                <c:ptCount val="1"/>
                <c:pt idx="0">
                  <c:v>Cross zero column 1</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Pt>
            <c:idx val="8"/>
            <c:invertIfNegative val="0"/>
            <c:spPr>
              <a:solidFill>
                <a:srgbClr val="FFFFCC"/>
              </a:solidFill>
            </c:spPr>
          </c:dPt>
          <c:cat>
            <c:strRef>
              <c:f>'Breakdown output all DNs'!$A$246:$A$255</c:f>
              <c:strCache>
                <c:ptCount val="10"/>
                <c:pt idx="0">
                  <c:v>Controllables (including pensions)</c:v>
                </c:pt>
                <c:pt idx="1">
                  <c:v>Non controllables and pension deficit closure</c:v>
                </c:pt>
                <c:pt idx="2">
                  <c:v>Mains and services repex</c:v>
                </c:pt>
                <c:pt idx="3">
                  <c:v>Other capex and repex</c:v>
                </c:pt>
                <c:pt idx="4">
                  <c:v>Unwind of capex incentive penalty (pot 2)</c:v>
                </c:pt>
                <c:pt idx="5">
                  <c:v>Additional income from IQI</c:v>
                </c:pt>
                <c:pt idx="6">
                  <c:v>Total - costs</c:v>
                </c:pt>
                <c:pt idx="7">
                  <c:v>Tax</c:v>
                </c:pt>
                <c:pt idx="8">
                  <c:v>Change in return on capital</c:v>
                </c:pt>
                <c:pt idx="9">
                  <c:v>Total - costs, tax and return on capital</c:v>
                </c:pt>
              </c:strCache>
            </c:strRef>
          </c:cat>
          <c:val>
            <c:numRef>
              <c:f>'Breakdown output all DNs'!$O$246:$O$255</c:f>
              <c:numCache>
                <c:ptCount val="10"/>
                <c:pt idx="0">
                  <c:v>0</c:v>
                </c:pt>
                <c:pt idx="1">
                  <c:v>0</c:v>
                </c:pt>
                <c:pt idx="2">
                  <c:v>-0.003856583496535504</c:v>
                </c:pt>
                <c:pt idx="3">
                  <c:v>0</c:v>
                </c:pt>
                <c:pt idx="4">
                  <c:v>0</c:v>
                </c:pt>
                <c:pt idx="5">
                  <c:v>0</c:v>
                </c:pt>
                <c:pt idx="6">
                  <c:v>0</c:v>
                </c:pt>
                <c:pt idx="8">
                  <c:v>0</c:v>
                </c:pt>
              </c:numCache>
            </c:numRef>
          </c:val>
        </c:ser>
        <c:ser>
          <c:idx val="3"/>
          <c:order val="4"/>
          <c:tx>
            <c:strRef>
              <c:f>'Breakdown output all DNs'!$P$244:$P$245</c:f>
              <c:strCache>
                <c:ptCount val="1"/>
                <c:pt idx="0">
                  <c:v>Cross zero column 2</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Pt>
            <c:idx val="8"/>
            <c:invertIfNegative val="0"/>
            <c:spPr>
              <a:solidFill>
                <a:srgbClr val="FFFFCC"/>
              </a:solidFill>
            </c:spPr>
          </c:dPt>
          <c:dLbls>
            <c:numFmt formatCode="General" sourceLinked="1"/>
            <c:showLegendKey val="0"/>
            <c:showVal val="0"/>
            <c:showBubbleSize val="0"/>
            <c:showCatName val="0"/>
            <c:showSerName val="0"/>
            <c:showPercent val="0"/>
          </c:dLbls>
          <c:cat>
            <c:strRef>
              <c:f>'Breakdown output all DNs'!$A$246:$A$255</c:f>
              <c:strCache>
                <c:ptCount val="10"/>
                <c:pt idx="0">
                  <c:v>Controllables (including pensions)</c:v>
                </c:pt>
                <c:pt idx="1">
                  <c:v>Non controllables and pension deficit closure</c:v>
                </c:pt>
                <c:pt idx="2">
                  <c:v>Mains and services repex</c:v>
                </c:pt>
                <c:pt idx="3">
                  <c:v>Other capex and repex</c:v>
                </c:pt>
                <c:pt idx="4">
                  <c:v>Unwind of capex incentive penalty (pot 2)</c:v>
                </c:pt>
                <c:pt idx="5">
                  <c:v>Additional income from IQI</c:v>
                </c:pt>
                <c:pt idx="6">
                  <c:v>Total - costs</c:v>
                </c:pt>
                <c:pt idx="7">
                  <c:v>Tax</c:v>
                </c:pt>
                <c:pt idx="8">
                  <c:v>Change in return on capital</c:v>
                </c:pt>
                <c:pt idx="9">
                  <c:v>Total - costs, tax and return on capital</c:v>
                </c:pt>
              </c:strCache>
            </c:strRef>
          </c:cat>
          <c:val>
            <c:numRef>
              <c:f>'Breakdown output all DNs'!$P$246:$P$255</c:f>
              <c:numCache>
                <c:ptCount val="10"/>
                <c:pt idx="0">
                  <c:v>0</c:v>
                </c:pt>
                <c:pt idx="1">
                  <c:v>0</c:v>
                </c:pt>
                <c:pt idx="2">
                  <c:v>0.007816348528924544</c:v>
                </c:pt>
                <c:pt idx="3">
                  <c:v>0</c:v>
                </c:pt>
                <c:pt idx="4">
                  <c:v>0</c:v>
                </c:pt>
                <c:pt idx="5">
                  <c:v>0</c:v>
                </c:pt>
                <c:pt idx="6">
                  <c:v>0</c:v>
                </c:pt>
                <c:pt idx="8">
                  <c:v>0</c:v>
                </c:pt>
              </c:numCache>
            </c:numRef>
          </c:val>
        </c:ser>
        <c:ser>
          <c:idx val="2"/>
          <c:order val="5"/>
          <c:tx>
            <c:strRef>
              <c:f>'Breakdown output all DNs'!$N$244:$N$245</c:f>
              <c:strCache>
                <c:ptCount val="1"/>
                <c:pt idx="0">
                  <c:v>Decrease column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'Breakdown output all DNs'!$A$246:$A$255</c:f>
              <c:strCache>
                <c:ptCount val="10"/>
                <c:pt idx="0">
                  <c:v>Controllables (including pensions)</c:v>
                </c:pt>
                <c:pt idx="1">
                  <c:v>Non controllables and pension deficit closure</c:v>
                </c:pt>
                <c:pt idx="2">
                  <c:v>Mains and services repex</c:v>
                </c:pt>
                <c:pt idx="3">
                  <c:v>Other capex and repex</c:v>
                </c:pt>
                <c:pt idx="4">
                  <c:v>Unwind of capex incentive penalty (pot 2)</c:v>
                </c:pt>
                <c:pt idx="5">
                  <c:v>Additional income from IQI</c:v>
                </c:pt>
                <c:pt idx="6">
                  <c:v>Total - costs</c:v>
                </c:pt>
                <c:pt idx="7">
                  <c:v>Tax</c:v>
                </c:pt>
                <c:pt idx="8">
                  <c:v>Change in return on capital</c:v>
                </c:pt>
                <c:pt idx="9">
                  <c:v>Total - costs, tax and return on capital</c:v>
                </c:pt>
              </c:strCache>
            </c:strRef>
          </c:cat>
          <c:val>
            <c:numRef>
              <c:f>'Breakdown output all DNs'!$N$246:$N$255</c:f>
              <c:numCache>
                <c:ptCount val="10"/>
                <c:pt idx="0">
                  <c:v>0</c:v>
                </c:pt>
                <c:pt idx="1">
                  <c:v>-0.0004562580745994804</c:v>
                </c:pt>
                <c:pt idx="2">
                  <c:v>0</c:v>
                </c:pt>
                <c:pt idx="3">
                  <c:v>0</c:v>
                </c:pt>
                <c:pt idx="4">
                  <c:v>0</c:v>
                </c:pt>
                <c:pt idx="5">
                  <c:v>0</c:v>
                </c:pt>
                <c:pt idx="6">
                  <c:v>0</c:v>
                </c:pt>
                <c:pt idx="7">
                  <c:v>0</c:v>
                </c:pt>
                <c:pt idx="8">
                  <c:v>0.006641954907970371</c:v>
                </c:pt>
                <c:pt idx="9">
                  <c:v>0</c:v>
                </c:pt>
              </c:numCache>
            </c:numRef>
          </c:val>
        </c:ser>
        <c:ser>
          <c:idx val="6"/>
          <c:order val="6"/>
          <c:tx>
            <c:strRef>
              <c:f>'Breakdown output all DNs'!$Q$244:$Q$245</c:f>
              <c:strCache>
                <c:ptCount val="1"/>
                <c:pt idx="0">
                  <c:v>Cross zero label column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'Breakdown output all DNs'!$A$246:$A$255</c:f>
              <c:strCache>
                <c:ptCount val="10"/>
                <c:pt idx="0">
                  <c:v>Controllables (including pensions)</c:v>
                </c:pt>
                <c:pt idx="1">
                  <c:v>Non controllables and pension deficit closure</c:v>
                </c:pt>
                <c:pt idx="2">
                  <c:v>Mains and services repex</c:v>
                </c:pt>
                <c:pt idx="3">
                  <c:v>Other capex and repex</c:v>
                </c:pt>
                <c:pt idx="4">
                  <c:v>Unwind of capex incentive penalty (pot 2)</c:v>
                </c:pt>
                <c:pt idx="5">
                  <c:v>Additional income from IQI</c:v>
                </c:pt>
                <c:pt idx="6">
                  <c:v>Total - costs</c:v>
                </c:pt>
                <c:pt idx="7">
                  <c:v>Tax</c:v>
                </c:pt>
                <c:pt idx="8">
                  <c:v>Change in return on capital</c:v>
                </c:pt>
                <c:pt idx="9">
                  <c:v>Total - costs, tax and return on capital</c:v>
                </c:pt>
              </c:strCache>
            </c:strRef>
          </c:cat>
          <c:val>
            <c:numRef>
              <c:f>'Breakdown output all DNs'!$Q$246:$Q$255</c:f>
              <c:numCache>
                <c:ptCount val="10"/>
                <c:pt idx="0">
                  <c:v>0</c:v>
                </c:pt>
                <c:pt idx="1">
                  <c:v>0</c:v>
                </c:pt>
                <c:pt idx="2">
                  <c:v>0.011672932025460048</c:v>
                </c:pt>
                <c:pt idx="3">
                  <c:v>0</c:v>
                </c:pt>
                <c:pt idx="4">
                  <c:v>0</c:v>
                </c:pt>
                <c:pt idx="5">
                  <c:v>0</c:v>
                </c:pt>
                <c:pt idx="6">
                  <c:v>0</c:v>
                </c:pt>
                <c:pt idx="8">
                  <c:v>0</c:v>
                </c:pt>
                <c:pt idx="9">
                  <c:v>0</c:v>
                </c:pt>
              </c:numCache>
            </c:numRef>
          </c:val>
        </c:ser>
        <c:ser>
          <c:idx val="5"/>
          <c:order val="7"/>
          <c:tx>
            <c:strRef>
              <c:f>'Breakdown output all DNs'!$R$244:$R$245</c:f>
              <c:strCache>
                <c:ptCount val="1"/>
                <c:pt idx="0">
                  <c:v>Final Column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'Breakdown output all DNs'!$A$246:$A$255</c:f>
              <c:strCache>
                <c:ptCount val="10"/>
                <c:pt idx="0">
                  <c:v>Controllables (including pensions)</c:v>
                </c:pt>
                <c:pt idx="1">
                  <c:v>Non controllables and pension deficit closure</c:v>
                </c:pt>
                <c:pt idx="2">
                  <c:v>Mains and services repex</c:v>
                </c:pt>
                <c:pt idx="3">
                  <c:v>Other capex and repex</c:v>
                </c:pt>
                <c:pt idx="4">
                  <c:v>Unwind of capex incentive penalty (pot 2)</c:v>
                </c:pt>
                <c:pt idx="5">
                  <c:v>Additional income from IQI</c:v>
                </c:pt>
                <c:pt idx="6">
                  <c:v>Total - costs</c:v>
                </c:pt>
                <c:pt idx="7">
                  <c:v>Tax</c:v>
                </c:pt>
                <c:pt idx="8">
                  <c:v>Change in return on capital</c:v>
                </c:pt>
                <c:pt idx="9">
                  <c:v>Total - costs, tax and return on capital</c:v>
                </c:pt>
              </c:strCache>
            </c:strRef>
          </c:cat>
          <c:val>
            <c:numRef>
              <c:f>'Breakdown output all DNs'!$R$246:$R$255</c:f>
              <c:numCache>
                <c:ptCount val="10"/>
                <c:pt idx="6">
                  <c:v>0.017998428547825518</c:v>
                </c:pt>
                <c:pt idx="9">
                  <c:v>0.013098288654902479</c:v>
                </c:pt>
              </c:numCache>
            </c:numRef>
          </c:val>
        </c:ser>
        <c:overlap val="100"/>
        <c:axId val="24246665"/>
        <c:axId val="39417918"/>
      </c:barChart>
      <c:catAx>
        <c:axId val="24246665"/>
        <c:scaling>
          <c:orientation val="minMax"/>
        </c:scaling>
        <c:axPos val="b"/>
        <c:delete val="0"/>
        <c:numFmt formatCode="General" sourceLinked="1"/>
        <c:majorTickMark val="out"/>
        <c:minorTickMark val="none"/>
        <c:tickLblPos val="nextTo"/>
        <c:txPr>
          <a:bodyPr/>
          <a:lstStyle/>
          <a:p>
            <a:pPr>
              <a:defRPr lang="en-US" cap="none" sz="850" b="0" i="0" u="none" baseline="0"/>
            </a:pPr>
          </a:p>
        </c:txPr>
        <c:crossAx val="39417918"/>
        <c:crosses val="autoZero"/>
        <c:auto val="1"/>
        <c:lblOffset val="100"/>
        <c:noMultiLvlLbl val="0"/>
      </c:catAx>
      <c:valAx>
        <c:axId val="39417918"/>
        <c:scaling>
          <c:orientation val="minMax"/>
        </c:scaling>
        <c:axPos val="l"/>
        <c:majorGridlines/>
        <c:delete val="0"/>
        <c:numFmt formatCode="General" sourceLinked="1"/>
        <c:majorTickMark val="out"/>
        <c:minorTickMark val="none"/>
        <c:tickLblPos val="nextTo"/>
        <c:crossAx val="2424666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0"/>
  <sheetViews>
    <sheetView workbookViewId="0" zoomScale="85"/>
  </sheetViews>
  <pageMargins left="0.75" right="0.75" top="1" bottom="1" header="0.5" footer="0.5"/>
  <pageSetup horizontalDpi="600" verticalDpi="6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0</xdr:rowOff>
    </xdr:from>
    <xdr:to>
      <xdr:col>12</xdr:col>
      <xdr:colOff>190500</xdr:colOff>
      <xdr:row>14</xdr:row>
      <xdr:rowOff>38100</xdr:rowOff>
    </xdr:to>
    <xdr:sp>
      <xdr:nvSpPr>
        <xdr:cNvPr id="1" name="TextBox 1"/>
        <xdr:cNvSpPr txBox="1">
          <a:spLocks noChangeArrowheads="1"/>
        </xdr:cNvSpPr>
      </xdr:nvSpPr>
      <xdr:spPr>
        <a:xfrm>
          <a:off x="704850" y="733425"/>
          <a:ext cx="7715250"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This model has been developed by Ofgem to assess the finanical impact of its proposals for the 2007-2013 gas distribution price controls.  The model uses input data from a variety of sources to calculate allowed revenue for the distribution network regulated operations for the price control period.
All input data is stored on the "Input" worksheet or the individual company input sheets, so that only this sheet need to be be edited to effect a change to the outcomes. The parameters of the IQI matrix can be changed within the "IQI calculation" worksheet.  There are no hard-coded values in the remaining worksheets, so formulae on these sheets should not be changed.
Any questions on this model should be directed to: Heather Glass, Gas Distribution, 020 7901 7276, heather.glass@ofgem.gov.uk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3524250</xdr:colOff>
      <xdr:row>1</xdr:row>
      <xdr:rowOff>0</xdr:rowOff>
    </xdr:from>
    <xdr:to>
      <xdr:col>1</xdr:col>
      <xdr:colOff>5495925</xdr:colOff>
      <xdr:row>2</xdr:row>
      <xdr:rowOff>161925</xdr:rowOff>
    </xdr:to>
    <xdr:sp macro="[0]!copybreakdown">
      <xdr:nvSpPr>
        <xdr:cNvPr id="1" name="TextBox 34"/>
        <xdr:cNvSpPr txBox="1">
          <a:spLocks noChangeArrowheads="1"/>
        </xdr:cNvSpPr>
      </xdr:nvSpPr>
      <xdr:spPr>
        <a:xfrm>
          <a:off x="3762375" y="228600"/>
          <a:ext cx="1971675" cy="390525"/>
        </a:xfrm>
        <a:prstGeom prst="rect">
          <a:avLst/>
        </a:prstGeom>
        <a:solidFill>
          <a:srgbClr val="FF99CC"/>
        </a:solidFill>
        <a:ln w="9525" cmpd="sng">
          <a:solidFill>
            <a:srgbClr val="000000"/>
          </a:solidFill>
          <a:headEnd type="none"/>
          <a:tailEnd type="none"/>
        </a:ln>
      </xdr:spPr>
      <xdr:txBody>
        <a:bodyPr vertOverflow="clip" wrap="square"/>
        <a:p>
          <a:pPr algn="ctr">
            <a:defRPr/>
          </a:pPr>
          <a:r>
            <a:rPr lang="en-US" cap="none" sz="1100" b="1" i="0" u="none" baseline="0"/>
            <a:t>Run breakdown for all GDNs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3</xdr:col>
      <xdr:colOff>47625</xdr:colOff>
      <xdr:row>2</xdr:row>
      <xdr:rowOff>152400</xdr:rowOff>
    </xdr:to>
    <xdr:sp macro="[0]!copybreakdown">
      <xdr:nvSpPr>
        <xdr:cNvPr id="1" name="TextBox 90"/>
        <xdr:cNvSpPr txBox="1">
          <a:spLocks noChangeArrowheads="1"/>
        </xdr:cNvSpPr>
      </xdr:nvSpPr>
      <xdr:spPr>
        <a:xfrm>
          <a:off x="6353175" y="171450"/>
          <a:ext cx="1971675" cy="400050"/>
        </a:xfrm>
        <a:prstGeom prst="rect">
          <a:avLst/>
        </a:prstGeom>
        <a:solidFill>
          <a:srgbClr val="FF99CC"/>
        </a:solidFill>
        <a:ln w="9525" cmpd="sng">
          <a:solidFill>
            <a:srgbClr val="000000"/>
          </a:solidFill>
          <a:headEnd type="none"/>
          <a:tailEnd type="none"/>
        </a:ln>
      </xdr:spPr>
      <xdr:txBody>
        <a:bodyPr vertOverflow="clip" wrap="square"/>
        <a:p>
          <a:pPr algn="ctr">
            <a:defRPr/>
          </a:pPr>
          <a:r>
            <a:rPr lang="en-US" cap="none" sz="1100" b="1" i="0" u="none" baseline="0"/>
            <a:t>Run breakdown for all GDNs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un8\networks\Transmission\TPCR%202007-2012\Financial%20issues\Models\Main_model\General_Gas_0608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GGT_TO"/>
      <sheetName val="NGGT_SO"/>
      <sheetName val="Input"/>
      <sheetName val="Output"/>
      <sheetName val="PC_POut"/>
      <sheetName val="PostTaxRev"/>
      <sheetName val="P&amp;L"/>
      <sheetName val="BS"/>
      <sheetName val="CF"/>
      <sheetName val="Depn"/>
      <sheetName val="RealRAV"/>
      <sheetName val="NominalRAV"/>
      <sheetName val="Notes"/>
      <sheetName val="Changes"/>
      <sheetName val="Ratios"/>
    </sheetNames>
    <sheetDataSet>
      <sheetData sheetId="3">
        <row r="20">
          <cell r="E20" t="str">
            <v>The tax calculation has not been run!</v>
          </cell>
        </row>
        <row r="21">
          <cell r="E21" t="str">
            <v>All prices are £m in 2004/05 terms</v>
          </cell>
        </row>
        <row r="22">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row>
      </sheetData>
      <sheetData sheetId="6">
        <row r="10">
          <cell r="E10">
            <v>0.051699999999999996</v>
          </cell>
          <cell r="F10">
            <v>0.051699999999999996</v>
          </cell>
          <cell r="G10">
            <v>0.050600000000000006</v>
          </cell>
          <cell r="H10">
            <v>0.048400000000000006</v>
          </cell>
          <cell r="I10">
            <v>0.048400000000000006</v>
          </cell>
          <cell r="J10">
            <v>0.048400000000000006</v>
          </cell>
          <cell r="K10">
            <v>0.048400000000000006</v>
          </cell>
          <cell r="L10">
            <v>0.048400000000000006</v>
          </cell>
          <cell r="M10">
            <v>0.048400000000000006</v>
          </cell>
          <cell r="N10">
            <v>0.048400000000000006</v>
          </cell>
          <cell r="O10">
            <v>0.048400000000000006</v>
          </cell>
          <cell r="P10">
            <v>0.048400000000000006</v>
          </cell>
          <cell r="Q10">
            <v>0.048400000000000006</v>
          </cell>
          <cell r="R10">
            <v>0.048400000000000006</v>
          </cell>
          <cell r="S10">
            <v>0.048400000000000006</v>
          </cell>
          <cell r="T10">
            <v>0.048400000000000006</v>
          </cell>
          <cell r="U10">
            <v>0.048400000000000006</v>
          </cell>
          <cell r="V10">
            <v>0.048400000000000006</v>
          </cell>
          <cell r="W10">
            <v>0.048400000000000006</v>
          </cell>
          <cell r="X10">
            <v>0.048400000000000006</v>
          </cell>
          <cell r="Y10">
            <v>0.048400000000000006</v>
          </cell>
          <cell r="Z10">
            <v>0.048400000000000006</v>
          </cell>
          <cell r="AA10">
            <v>0.048400000000000006</v>
          </cell>
          <cell r="AB10">
            <v>0.048400000000000006</v>
          </cell>
          <cell r="AC10">
            <v>0.048400000000000006</v>
          </cell>
          <cell r="AD10">
            <v>0.048400000000000006</v>
          </cell>
          <cell r="AE10">
            <v>0.048400000000000006</v>
          </cell>
          <cell r="AF10">
            <v>0.048400000000000006</v>
          </cell>
          <cell r="AG10">
            <v>0.048400000000000006</v>
          </cell>
          <cell r="AH10">
            <v>0.048400000000000006</v>
          </cell>
          <cell r="AI10">
            <v>0.048400000000000006</v>
          </cell>
          <cell r="AJ10">
            <v>0.048400000000000006</v>
          </cell>
          <cell r="AK10">
            <v>0.048400000000000006</v>
          </cell>
          <cell r="AL10">
            <v>0.048400000000000006</v>
          </cell>
          <cell r="AM10">
            <v>0.048400000000000006</v>
          </cell>
          <cell r="AN10">
            <v>0.048400000000000006</v>
          </cell>
          <cell r="AO10">
            <v>0.048400000000000006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O25"/>
  <sheetViews>
    <sheetView tabSelected="1" zoomScale="85" zoomScaleNormal="85" workbookViewId="0" topLeftCell="A1">
      <selection activeCell="A1" sqref="A1"/>
    </sheetView>
  </sheetViews>
  <sheetFormatPr defaultColWidth="9.00390625" defaultRowHeight="15"/>
  <cols>
    <col min="1" max="16384" width="9.00390625" style="63" customWidth="1"/>
  </cols>
  <sheetData>
    <row r="1" spans="2:15" ht="14.25">
      <c r="B1" s="515" t="s">
        <v>500</v>
      </c>
      <c r="C1" s="516"/>
      <c r="D1" s="516"/>
      <c r="E1" s="516"/>
      <c r="F1" s="516"/>
      <c r="G1" s="516"/>
      <c r="H1" s="516"/>
      <c r="I1" s="516"/>
      <c r="J1" s="516"/>
      <c r="K1" s="516"/>
      <c r="L1" s="516"/>
      <c r="M1" s="516"/>
      <c r="N1" s="516"/>
      <c r="O1" s="516"/>
    </row>
    <row r="2" spans="2:15" ht="14.25">
      <c r="B2" s="515" t="s">
        <v>501</v>
      </c>
      <c r="C2" s="516"/>
      <c r="D2" s="516"/>
      <c r="E2" s="516"/>
      <c r="F2" s="516"/>
      <c r="G2" s="516"/>
      <c r="H2" s="516"/>
      <c r="I2" s="516"/>
      <c r="J2" s="516"/>
      <c r="K2" s="516"/>
      <c r="L2" s="516"/>
      <c r="M2" s="516"/>
      <c r="N2" s="516"/>
      <c r="O2" s="516"/>
    </row>
    <row r="3" spans="2:15" ht="14.25">
      <c r="B3" s="515" t="s">
        <v>502</v>
      </c>
      <c r="C3" s="516"/>
      <c r="D3" s="516"/>
      <c r="E3" s="516"/>
      <c r="F3" s="516"/>
      <c r="G3" s="516"/>
      <c r="H3" s="516"/>
      <c r="I3" s="516"/>
      <c r="J3" s="516"/>
      <c r="K3" s="516"/>
      <c r="L3" s="516"/>
      <c r="M3" s="516"/>
      <c r="N3" s="516"/>
      <c r="O3" s="516"/>
    </row>
    <row r="19" spans="2:5" ht="14.25">
      <c r="B19" s="517"/>
      <c r="C19" s="518"/>
      <c r="D19" s="518"/>
      <c r="E19" s="518"/>
    </row>
    <row r="20" spans="1:5" ht="14.25">
      <c r="A20" s="518"/>
      <c r="B20" s="518"/>
      <c r="C20" s="518"/>
      <c r="D20" s="518"/>
      <c r="E20" s="518"/>
    </row>
    <row r="21" spans="1:3" ht="14.25">
      <c r="A21" s="518"/>
      <c r="B21" s="77"/>
      <c r="C21" s="519"/>
    </row>
    <row r="22" spans="1:4" ht="14.25">
      <c r="A22" s="518"/>
      <c r="C22" s="518"/>
      <c r="D22" s="518"/>
    </row>
    <row r="23" spans="1:3" ht="14.25">
      <c r="A23" s="518"/>
      <c r="C23" s="520"/>
    </row>
    <row r="24" spans="1:4" ht="14.25">
      <c r="A24" s="518"/>
      <c r="B24" s="521"/>
      <c r="C24" s="518"/>
      <c r="D24" s="518"/>
    </row>
    <row r="25" spans="1:3" ht="14.25">
      <c r="A25" s="518"/>
      <c r="B25" s="522"/>
      <c r="C25" s="523"/>
    </row>
  </sheetData>
  <printOptions/>
  <pageMargins left="0.75" right="0.75" top="1" bottom="1" header="0.5" footer="0.5"/>
  <pageSetup fitToHeight="1" fitToWidth="1" horizontalDpi="600" verticalDpi="600" orientation="landscape" paperSize="9" scale="88" r:id="rId2"/>
  <drawing r:id="rId1"/>
</worksheet>
</file>

<file path=xl/worksheets/sheet10.xml><?xml version="1.0" encoding="utf-8"?>
<worksheet xmlns="http://schemas.openxmlformats.org/spreadsheetml/2006/main" xmlns:r="http://schemas.openxmlformats.org/officeDocument/2006/relationships">
  <sheetPr codeName="Sheet23"/>
  <dimension ref="A1:N251"/>
  <sheetViews>
    <sheetView zoomScale="70" zoomScaleNormal="70" workbookViewId="0" topLeftCell="A1">
      <pane xSplit="2" ySplit="1" topLeftCell="C2" activePane="bottomRight" state="frozen"/>
      <selection pane="topLeft" activeCell="K92" sqref="K92"/>
      <selection pane="topRight" activeCell="K92" sqref="K92"/>
      <selection pane="bottomLeft" activeCell="K92" sqref="K92"/>
      <selection pane="bottomRight" activeCell="A1" sqref="A1"/>
    </sheetView>
  </sheetViews>
  <sheetFormatPr defaultColWidth="9.00390625" defaultRowHeight="15"/>
  <cols>
    <col min="1" max="1" width="9.00390625" style="71" customWidth="1"/>
    <col min="2" max="2" width="48.00390625" style="63" customWidth="1"/>
    <col min="3" max="3" width="1.37890625" style="63" customWidth="1"/>
    <col min="4" max="4" width="15.875" style="63" customWidth="1"/>
    <col min="5" max="5" width="11.00390625" style="63" bestFit="1" customWidth="1"/>
    <col min="6" max="6" width="10.375" style="63" bestFit="1" customWidth="1"/>
    <col min="7" max="12" width="9.00390625" style="63" customWidth="1"/>
    <col min="13" max="13" width="9.00390625" style="71" customWidth="1"/>
    <col min="14" max="16384" width="9.00390625" style="63" customWidth="1"/>
  </cols>
  <sheetData>
    <row r="1" spans="3:12" ht="14.25">
      <c r="C1" s="540"/>
      <c r="D1" s="540"/>
      <c r="E1" s="541" t="s">
        <v>76</v>
      </c>
      <c r="F1" s="541" t="s">
        <v>77</v>
      </c>
      <c r="G1" s="541" t="s">
        <v>91</v>
      </c>
      <c r="H1" s="541" t="s">
        <v>92</v>
      </c>
      <c r="I1" s="541" t="s">
        <v>93</v>
      </c>
      <c r="J1" s="541" t="s">
        <v>94</v>
      </c>
      <c r="K1" s="541" t="s">
        <v>95</v>
      </c>
      <c r="L1" s="541" t="s">
        <v>131</v>
      </c>
    </row>
    <row r="2" spans="1:12" ht="14.25">
      <c r="A2" s="216"/>
      <c r="C2" s="77"/>
      <c r="D2" s="542"/>
      <c r="E2" s="542"/>
      <c r="F2" s="542"/>
      <c r="G2" s="542"/>
      <c r="H2" s="542"/>
      <c r="I2" s="542"/>
      <c r="J2" s="542"/>
      <c r="K2" s="542"/>
      <c r="L2" s="543"/>
    </row>
    <row r="3" spans="1:12" ht="14.25">
      <c r="A3" s="216"/>
      <c r="B3" s="544" t="s">
        <v>152</v>
      </c>
      <c r="C3" s="545"/>
      <c r="D3" s="546"/>
      <c r="E3" s="546"/>
      <c r="F3" s="546"/>
      <c r="G3" s="542"/>
      <c r="H3" s="542"/>
      <c r="I3" s="547"/>
      <c r="J3" s="547"/>
      <c r="K3" s="542"/>
      <c r="L3" s="543"/>
    </row>
    <row r="4" spans="1:12" ht="14.25">
      <c r="A4" s="216" t="s">
        <v>534</v>
      </c>
      <c r="B4" s="548" t="s">
        <v>601</v>
      </c>
      <c r="C4" s="549"/>
      <c r="D4" s="546"/>
      <c r="E4" s="546">
        <v>393.41492160754564</v>
      </c>
      <c r="F4" s="546">
        <v>389.93342407959426</v>
      </c>
      <c r="G4" s="542"/>
      <c r="H4" s="542"/>
      <c r="I4" s="542"/>
      <c r="J4" s="542"/>
      <c r="K4" s="542"/>
      <c r="L4" s="542"/>
    </row>
    <row r="5" spans="1:12" ht="14.25">
      <c r="A5" s="216"/>
      <c r="B5" s="548" t="s">
        <v>600</v>
      </c>
      <c r="C5" s="545"/>
      <c r="D5" s="546"/>
      <c r="E5" s="546">
        <v>390.9827310177551</v>
      </c>
      <c r="F5" s="546">
        <v>384.0539305500239</v>
      </c>
      <c r="G5" s="542"/>
      <c r="H5" s="542"/>
      <c r="I5" s="542"/>
      <c r="J5" s="542"/>
      <c r="K5" s="542"/>
      <c r="L5" s="543"/>
    </row>
    <row r="6" spans="1:12" ht="14.25">
      <c r="A6" s="216"/>
      <c r="B6" s="544" t="s">
        <v>476</v>
      </c>
      <c r="C6" s="545"/>
      <c r="D6" s="546"/>
      <c r="E6" s="546">
        <v>-5.444317477214646</v>
      </c>
      <c r="F6" s="546">
        <v>-5.347836005042144</v>
      </c>
      <c r="G6" s="542"/>
      <c r="H6" s="547"/>
      <c r="I6" s="547"/>
      <c r="J6" s="547"/>
      <c r="K6" s="542"/>
      <c r="L6" s="543"/>
    </row>
    <row r="7" spans="1:12" ht="14.25">
      <c r="A7" s="216"/>
      <c r="B7" s="544" t="s">
        <v>477</v>
      </c>
      <c r="C7" s="545"/>
      <c r="D7" s="546"/>
      <c r="E7" s="546">
        <v>1.4198843986245064</v>
      </c>
      <c r="F7" s="546">
        <v>1.3947219172543466</v>
      </c>
      <c r="G7" s="542"/>
      <c r="H7" s="547"/>
      <c r="I7" s="547"/>
      <c r="J7" s="542"/>
      <c r="K7" s="542"/>
      <c r="L7" s="543"/>
    </row>
    <row r="8" spans="1:12" ht="14.25">
      <c r="A8" s="216"/>
      <c r="B8" s="548" t="s">
        <v>478</v>
      </c>
      <c r="C8" s="545"/>
      <c r="D8" s="546"/>
      <c r="E8" s="546">
        <v>386.95829793916494</v>
      </c>
      <c r="F8" s="546">
        <v>380.1008164622361</v>
      </c>
      <c r="G8" s="542"/>
      <c r="H8" s="542"/>
      <c r="I8" s="542"/>
      <c r="J8" s="542"/>
      <c r="K8" s="542"/>
      <c r="L8" s="543"/>
    </row>
    <row r="9" spans="1:12" ht="14.25">
      <c r="A9" s="121"/>
      <c r="B9" s="548" t="s">
        <v>66</v>
      </c>
      <c r="C9" s="549"/>
      <c r="D9" s="546"/>
      <c r="E9" s="546">
        <v>-116.87055858301063</v>
      </c>
      <c r="F9" s="546">
        <v>-112.82204554725162</v>
      </c>
      <c r="G9" s="542"/>
      <c r="H9" s="542"/>
      <c r="I9" s="542"/>
      <c r="J9" s="542"/>
      <c r="K9" s="542"/>
      <c r="L9" s="542"/>
    </row>
    <row r="10" spans="1:12" ht="14.25">
      <c r="A10" s="121"/>
      <c r="B10" s="548" t="s">
        <v>479</v>
      </c>
      <c r="C10" s="549"/>
      <c r="D10" s="546"/>
      <c r="E10" s="546">
        <v>-111.42624110579598</v>
      </c>
      <c r="F10" s="546">
        <v>-107.47420954220948</v>
      </c>
      <c r="H10" s="542"/>
      <c r="I10" s="542"/>
      <c r="J10" s="542"/>
      <c r="K10" s="542"/>
      <c r="L10" s="542"/>
    </row>
    <row r="11" spans="1:12" ht="14.25">
      <c r="A11" s="121"/>
      <c r="B11" s="548" t="s">
        <v>67</v>
      </c>
      <c r="C11" s="549"/>
      <c r="D11" s="546"/>
      <c r="E11" s="546">
        <v>-40.258908620381106</v>
      </c>
      <c r="F11" s="546">
        <v>-42.57898853458879</v>
      </c>
      <c r="G11" s="542"/>
      <c r="H11" s="542"/>
      <c r="I11" s="542"/>
      <c r="J11" s="542"/>
      <c r="K11" s="542"/>
      <c r="L11" s="542"/>
    </row>
    <row r="12" spans="1:12" ht="14.25">
      <c r="A12" s="121"/>
      <c r="B12" s="548" t="s">
        <v>487</v>
      </c>
      <c r="C12" s="549"/>
      <c r="D12" s="546"/>
      <c r="E12" s="546">
        <v>-32.87296789832792</v>
      </c>
      <c r="F12" s="546">
        <v>-32.63626122714854</v>
      </c>
      <c r="G12" s="542"/>
      <c r="H12" s="542"/>
      <c r="I12" s="542"/>
      <c r="J12" s="542"/>
      <c r="K12" s="542"/>
      <c r="L12" s="542"/>
    </row>
    <row r="13" spans="1:12" ht="14.25">
      <c r="A13" s="550" t="s">
        <v>121</v>
      </c>
      <c r="B13" s="551"/>
      <c r="C13" s="549"/>
      <c r="D13" s="546"/>
      <c r="E13" s="546"/>
      <c r="F13" s="546"/>
      <c r="G13" s="542"/>
      <c r="H13" s="542"/>
      <c r="I13" s="542"/>
      <c r="J13" s="542"/>
      <c r="K13" s="542"/>
      <c r="L13" s="543"/>
    </row>
    <row r="14" spans="1:12" ht="14.25">
      <c r="A14" s="552"/>
      <c r="B14" s="545" t="s">
        <v>494</v>
      </c>
      <c r="C14" s="549"/>
      <c r="D14" s="546"/>
      <c r="E14" s="546">
        <v>20.960254188622997</v>
      </c>
      <c r="F14" s="546">
        <v>17.678000919138665</v>
      </c>
      <c r="G14" s="542"/>
      <c r="H14" s="542"/>
      <c r="I14" s="542"/>
      <c r="J14" s="542"/>
      <c r="K14" s="542"/>
      <c r="L14" s="543"/>
    </row>
    <row r="15" spans="1:12" ht="14.25">
      <c r="A15" s="552"/>
      <c r="B15" s="545" t="s">
        <v>493</v>
      </c>
      <c r="C15" s="549"/>
      <c r="D15" s="546"/>
      <c r="E15" s="546">
        <v>32.87296789832794</v>
      </c>
      <c r="F15" s="546">
        <v>32.63626122714852</v>
      </c>
      <c r="G15" s="542"/>
      <c r="H15" s="542"/>
      <c r="I15" s="542"/>
      <c r="J15" s="542"/>
      <c r="K15" s="542"/>
      <c r="L15" s="543"/>
    </row>
    <row r="16" spans="1:12" ht="14.25">
      <c r="A16" s="552"/>
      <c r="B16" s="545" t="s">
        <v>142</v>
      </c>
      <c r="C16" s="549"/>
      <c r="D16" s="546"/>
      <c r="E16" s="546">
        <v>65.74593579665589</v>
      </c>
      <c r="F16" s="546">
        <v>65.27252245429705</v>
      </c>
      <c r="G16" s="542"/>
      <c r="H16" s="542"/>
      <c r="I16" s="542"/>
      <c r="J16" s="542"/>
      <c r="K16" s="542"/>
      <c r="L16" s="543"/>
    </row>
    <row r="17" spans="1:12" ht="14.25">
      <c r="A17" s="121"/>
      <c r="B17" s="121"/>
      <c r="C17" s="553"/>
      <c r="D17" s="542"/>
      <c r="E17" s="542"/>
      <c r="F17" s="542"/>
      <c r="G17" s="542"/>
      <c r="H17" s="542"/>
      <c r="I17" s="542"/>
      <c r="J17" s="542"/>
      <c r="K17" s="542"/>
      <c r="L17" s="542"/>
    </row>
    <row r="18" spans="1:12" ht="14.25">
      <c r="A18" s="121"/>
      <c r="B18" s="554" t="s">
        <v>785</v>
      </c>
      <c r="C18" s="555"/>
      <c r="D18" s="556"/>
      <c r="E18" s="556">
        <v>406</v>
      </c>
      <c r="F18" s="556">
        <v>411.719298245614</v>
      </c>
      <c r="G18" s="556">
        <v>477.8997236483521</v>
      </c>
      <c r="H18" s="542"/>
      <c r="I18" s="542"/>
      <c r="J18" s="542"/>
      <c r="K18" s="542"/>
      <c r="L18" s="542"/>
    </row>
    <row r="19" spans="1:7" ht="14.25">
      <c r="A19" s="121"/>
      <c r="B19" s="554" t="s">
        <v>153</v>
      </c>
      <c r="C19" s="555"/>
      <c r="D19" s="556"/>
      <c r="E19" s="556">
        <v>-120.16639012140354</v>
      </c>
      <c r="F19" s="556">
        <v>-129.93352935835713</v>
      </c>
      <c r="G19" s="556">
        <v>-141.64350247239864</v>
      </c>
    </row>
    <row r="20" spans="1:7" ht="14.25">
      <c r="A20" s="121"/>
      <c r="B20" s="554" t="s">
        <v>67</v>
      </c>
      <c r="C20" s="555"/>
      <c r="D20" s="556"/>
      <c r="E20" s="556">
        <v>-48.2158021978022</v>
      </c>
      <c r="F20" s="556">
        <v>-56.177944862155385</v>
      </c>
      <c r="G20" s="556">
        <v>-59.30533962236025</v>
      </c>
    </row>
    <row r="21" spans="1:12" ht="14.25">
      <c r="A21" s="121"/>
      <c r="B21" s="554"/>
      <c r="C21" s="555"/>
      <c r="D21" s="556"/>
      <c r="E21" s="556"/>
      <c r="F21" s="556"/>
      <c r="G21" s="556"/>
      <c r="H21" s="542"/>
      <c r="I21" s="542"/>
      <c r="J21" s="542"/>
      <c r="K21" s="542"/>
      <c r="L21" s="542"/>
    </row>
    <row r="22" spans="1:12" ht="14.25">
      <c r="A22" s="121"/>
      <c r="B22" s="554" t="s">
        <v>8</v>
      </c>
      <c r="C22" s="555"/>
      <c r="D22" s="556"/>
      <c r="E22" s="556">
        <v>-39.003174203268344</v>
      </c>
      <c r="F22" s="556">
        <v>-37.35377310546947</v>
      </c>
      <c r="G22" s="556">
        <v>-36.01275046518634</v>
      </c>
      <c r="H22" s="542"/>
      <c r="I22" s="542"/>
      <c r="J22" s="542"/>
      <c r="K22" s="542"/>
      <c r="L22" s="542"/>
    </row>
    <row r="23" spans="1:7" ht="14.25">
      <c r="A23" s="121"/>
      <c r="B23" s="554" t="s">
        <v>57</v>
      </c>
      <c r="C23" s="555"/>
      <c r="D23" s="556"/>
      <c r="E23" s="556">
        <v>-33.92284347869331</v>
      </c>
      <c r="F23" s="556">
        <v>-34.43651864704496</v>
      </c>
      <c r="G23" s="556">
        <v>-34.362451003468756</v>
      </c>
    </row>
    <row r="24" spans="1:7" ht="14.25">
      <c r="A24" s="121"/>
      <c r="B24" s="554" t="s">
        <v>727</v>
      </c>
      <c r="C24" s="555"/>
      <c r="D24" s="556"/>
      <c r="E24" s="556">
        <v>47.28396653039178</v>
      </c>
      <c r="F24" s="556">
        <v>40.9422843207492</v>
      </c>
      <c r="G24" s="556">
        <v>40.38075345447861</v>
      </c>
    </row>
    <row r="25" spans="1:12" ht="14.25">
      <c r="A25" s="121"/>
      <c r="B25" s="77" t="s">
        <v>350</v>
      </c>
      <c r="C25" s="553"/>
      <c r="D25" s="542"/>
      <c r="E25" s="542"/>
      <c r="F25" s="542"/>
      <c r="G25" s="557">
        <v>427.2</v>
      </c>
      <c r="H25" s="542"/>
      <c r="I25" s="542"/>
      <c r="J25" s="542"/>
      <c r="K25" s="542"/>
      <c r="L25" s="542"/>
    </row>
    <row r="26" spans="1:12" ht="14.25">
      <c r="A26" s="121"/>
      <c r="B26" s="77"/>
      <c r="C26" s="553"/>
      <c r="D26" s="542"/>
      <c r="E26" s="542"/>
      <c r="F26" s="542"/>
      <c r="G26" s="558"/>
      <c r="H26" s="542"/>
      <c r="I26" s="542"/>
      <c r="J26" s="542"/>
      <c r="K26" s="542"/>
      <c r="L26" s="542"/>
    </row>
    <row r="27" spans="1:12" ht="14.25">
      <c r="A27" s="121"/>
      <c r="B27" s="554" t="s">
        <v>586</v>
      </c>
      <c r="C27" s="555"/>
      <c r="D27" s="556"/>
      <c r="E27" s="556">
        <v>48.60948147330092</v>
      </c>
      <c r="F27" s="556">
        <v>49.44711849476731</v>
      </c>
      <c r="G27" s="556">
        <v>0</v>
      </c>
      <c r="H27" s="542"/>
      <c r="I27" s="542"/>
      <c r="J27" s="542"/>
      <c r="K27" s="542"/>
      <c r="L27" s="542"/>
    </row>
    <row r="28" spans="1:14" ht="14.25">
      <c r="A28" s="121"/>
      <c r="B28" s="554" t="s">
        <v>584</v>
      </c>
      <c r="C28" s="555"/>
      <c r="D28" s="556"/>
      <c r="E28" s="556">
        <v>61.12627523523832</v>
      </c>
      <c r="F28" s="556">
        <v>65.78077712260982</v>
      </c>
      <c r="G28" s="556">
        <v>64.9385421714547</v>
      </c>
      <c r="N28" s="543"/>
    </row>
    <row r="29" spans="1:12" ht="14.25">
      <c r="A29" s="121"/>
      <c r="B29" s="554" t="s">
        <v>587</v>
      </c>
      <c r="C29" s="555"/>
      <c r="D29" s="556"/>
      <c r="E29" s="556">
        <v>17.06338230364286</v>
      </c>
      <c r="F29" s="556">
        <v>15.775083623411456</v>
      </c>
      <c r="G29" s="556">
        <v>0</v>
      </c>
      <c r="H29" s="542"/>
      <c r="I29" s="542"/>
      <c r="J29" s="542"/>
      <c r="K29" s="542"/>
      <c r="L29" s="542"/>
    </row>
    <row r="30" spans="1:7" ht="14.25">
      <c r="A30" s="121"/>
      <c r="B30" s="554" t="s">
        <v>585</v>
      </c>
      <c r="C30" s="555"/>
      <c r="D30" s="556"/>
      <c r="E30" s="556">
        <v>41.37970745980095</v>
      </c>
      <c r="F30" s="556">
        <v>43.41544648899258</v>
      </c>
      <c r="G30" s="556">
        <v>44.911080946644546</v>
      </c>
    </row>
    <row r="31" spans="1:12" ht="14.25">
      <c r="A31" s="121"/>
      <c r="B31" s="77" t="s">
        <v>482</v>
      </c>
      <c r="C31" s="553"/>
      <c r="D31" s="542"/>
      <c r="E31" s="542">
        <v>102.50598269503926</v>
      </c>
      <c r="F31" s="542">
        <v>109.19622361160239</v>
      </c>
      <c r="G31" s="542">
        <v>109.84962311809925</v>
      </c>
      <c r="H31" s="542"/>
      <c r="I31" s="542"/>
      <c r="J31" s="542"/>
      <c r="K31" s="542"/>
      <c r="L31" s="542"/>
    </row>
    <row r="32" spans="1:12" ht="14.25">
      <c r="A32" s="121"/>
      <c r="B32" s="559" t="s">
        <v>310</v>
      </c>
      <c r="C32" s="560"/>
      <c r="D32" s="561"/>
      <c r="E32" s="561">
        <v>61.12627523523832</v>
      </c>
      <c r="F32" s="561">
        <v>65.7807771226098</v>
      </c>
      <c r="G32" s="542"/>
      <c r="H32" s="542"/>
      <c r="I32" s="542"/>
      <c r="J32" s="542"/>
      <c r="K32" s="542"/>
      <c r="L32" s="542"/>
    </row>
    <row r="33" spans="1:12" ht="14.25">
      <c r="A33" s="121"/>
      <c r="B33" s="559" t="s">
        <v>311</v>
      </c>
      <c r="C33" s="560"/>
      <c r="D33" s="561"/>
      <c r="E33" s="561">
        <v>41.37970745980095</v>
      </c>
      <c r="F33" s="561">
        <v>43.41544648899258</v>
      </c>
      <c r="G33" s="542"/>
      <c r="H33" s="542"/>
      <c r="I33" s="542"/>
      <c r="J33" s="542"/>
      <c r="K33" s="542"/>
      <c r="L33" s="542"/>
    </row>
    <row r="34" spans="1:12" ht="14.25">
      <c r="A34" s="121"/>
      <c r="B34" s="121"/>
      <c r="C34" s="562"/>
      <c r="D34" s="558"/>
      <c r="E34" s="558"/>
      <c r="F34" s="558"/>
      <c r="G34" s="558"/>
      <c r="H34" s="558"/>
      <c r="I34" s="558"/>
      <c r="J34" s="558"/>
      <c r="K34" s="558"/>
      <c r="L34" s="558"/>
    </row>
    <row r="35" spans="1:12" ht="14.25">
      <c r="A35" s="121"/>
      <c r="B35" s="121"/>
      <c r="C35" s="562"/>
      <c r="D35" s="558"/>
      <c r="E35" s="558"/>
      <c r="F35" s="558"/>
      <c r="G35" s="558"/>
      <c r="H35" s="558"/>
      <c r="I35" s="558"/>
      <c r="J35" s="558"/>
      <c r="K35" s="558"/>
      <c r="L35" s="558"/>
    </row>
    <row r="36" spans="1:12" ht="14.25">
      <c r="A36" s="121"/>
      <c r="B36" s="216" t="s">
        <v>154</v>
      </c>
      <c r="C36" s="553"/>
      <c r="D36" s="542"/>
      <c r="E36" s="542"/>
      <c r="F36" s="542"/>
      <c r="G36" s="558"/>
      <c r="H36" s="542"/>
      <c r="I36" s="542"/>
      <c r="J36" s="542"/>
      <c r="K36" s="542"/>
      <c r="L36" s="542"/>
    </row>
    <row r="37" spans="1:12" ht="14.25">
      <c r="A37" s="121"/>
      <c r="B37" s="71" t="s">
        <v>153</v>
      </c>
      <c r="C37" s="553"/>
      <c r="D37" s="542"/>
      <c r="E37" s="542"/>
      <c r="F37" s="542"/>
      <c r="G37" s="558"/>
      <c r="H37" s="557">
        <v>-112.20075156543007</v>
      </c>
      <c r="I37" s="557">
        <v>-110.17102100696266</v>
      </c>
      <c r="J37" s="557">
        <v>-107.8492286475575</v>
      </c>
      <c r="K37" s="557">
        <v>-105.42188643532575</v>
      </c>
      <c r="L37" s="557">
        <v>-104.65336887033268</v>
      </c>
    </row>
    <row r="38" spans="1:12" ht="14.25">
      <c r="A38" s="121"/>
      <c r="B38" s="71" t="s">
        <v>727</v>
      </c>
      <c r="C38" s="553"/>
      <c r="D38" s="542"/>
      <c r="E38" s="542"/>
      <c r="F38" s="542"/>
      <c r="G38" s="558"/>
      <c r="H38" s="557">
        <v>34.09010167581007</v>
      </c>
      <c r="I38" s="557">
        <v>29.55660926735725</v>
      </c>
      <c r="J38" s="557">
        <v>35.338267365418076</v>
      </c>
      <c r="K38" s="557">
        <v>39.14673557757627</v>
      </c>
      <c r="L38" s="557">
        <v>44.125834990499534</v>
      </c>
    </row>
    <row r="39" spans="1:12" ht="14.25">
      <c r="A39" s="121"/>
      <c r="B39" s="71" t="s">
        <v>155</v>
      </c>
      <c r="C39" s="553"/>
      <c r="D39" s="542"/>
      <c r="E39" s="542"/>
      <c r="F39" s="542"/>
      <c r="G39" s="558"/>
      <c r="H39" s="557">
        <v>62.35129457953601</v>
      </c>
      <c r="I39" s="557">
        <v>68.38007801510504</v>
      </c>
      <c r="J39" s="557">
        <v>69.04555259184092</v>
      </c>
      <c r="K39" s="557">
        <v>73.58050126851104</v>
      </c>
      <c r="L39" s="557">
        <v>74.11642244559167</v>
      </c>
    </row>
    <row r="40" spans="1:12" ht="14.25">
      <c r="A40" s="121"/>
      <c r="B40" s="71" t="s">
        <v>156</v>
      </c>
      <c r="C40" s="553"/>
      <c r="D40" s="542"/>
      <c r="E40" s="542"/>
      <c r="F40" s="542"/>
      <c r="G40" s="558"/>
      <c r="H40" s="557">
        <v>29.379337367513067</v>
      </c>
      <c r="I40" s="557">
        <v>31.583717399240527</v>
      </c>
      <c r="J40" s="557">
        <v>31.45182246672637</v>
      </c>
      <c r="K40" s="557">
        <v>30.25614238062775</v>
      </c>
      <c r="L40" s="557">
        <v>30.534510401791707</v>
      </c>
    </row>
    <row r="41" spans="1:12" ht="14.25">
      <c r="A41" s="121"/>
      <c r="B41" s="71" t="s">
        <v>820</v>
      </c>
      <c r="C41" s="553"/>
      <c r="D41" s="542"/>
      <c r="E41" s="542"/>
      <c r="F41" s="542"/>
      <c r="G41" s="558"/>
      <c r="H41" s="557">
        <v>117.42904348734726</v>
      </c>
      <c r="I41" s="557">
        <v>120.6265866269094</v>
      </c>
      <c r="J41" s="557">
        <v>126.65861297166441</v>
      </c>
      <c r="K41" s="557">
        <v>137.1541680444447</v>
      </c>
      <c r="L41" s="557">
        <v>132.86869516274467</v>
      </c>
    </row>
    <row r="42" spans="1:12" ht="14.25">
      <c r="A42" s="121"/>
      <c r="B42" s="63" t="s">
        <v>158</v>
      </c>
      <c r="C42" s="553"/>
      <c r="D42" s="542"/>
      <c r="E42" s="542"/>
      <c r="F42" s="542"/>
      <c r="G42" s="558"/>
      <c r="H42" s="557">
        <v>90.96538048516345</v>
      </c>
      <c r="I42" s="557">
        <v>103.85858739279868</v>
      </c>
      <c r="J42" s="557">
        <v>106.43924011595907</v>
      </c>
      <c r="K42" s="557">
        <v>111.24194557681281</v>
      </c>
      <c r="L42" s="557">
        <v>115.19443406528173</v>
      </c>
    </row>
    <row r="43" spans="1:12" ht="14.25">
      <c r="A43" s="121"/>
      <c r="B43" s="63" t="s">
        <v>159</v>
      </c>
      <c r="C43" s="553"/>
      <c r="D43" s="542"/>
      <c r="E43" s="542"/>
      <c r="F43" s="542"/>
      <c r="G43" s="558"/>
      <c r="H43" s="557">
        <v>30.332994253162354</v>
      </c>
      <c r="I43" s="557">
        <v>25.737980082017735</v>
      </c>
      <c r="J43" s="557">
        <v>32.37927767430148</v>
      </c>
      <c r="K43" s="557">
        <v>39.84549300623054</v>
      </c>
      <c r="L43" s="557">
        <v>34.96674258</v>
      </c>
    </row>
    <row r="44" spans="1:12" ht="14.25">
      <c r="A44" s="121"/>
      <c r="B44" s="63" t="s">
        <v>67</v>
      </c>
      <c r="C44" s="553"/>
      <c r="D44" s="542"/>
      <c r="E44" s="542"/>
      <c r="F44" s="542"/>
      <c r="G44" s="558"/>
      <c r="H44" s="557">
        <v>-59.30533962236024</v>
      </c>
      <c r="I44" s="557">
        <v>-59.30533962236024</v>
      </c>
      <c r="J44" s="557">
        <v>-59.30533962236024</v>
      </c>
      <c r="K44" s="557">
        <v>-59.30533962236024</v>
      </c>
      <c r="L44" s="557">
        <v>-59.30533962236024</v>
      </c>
    </row>
    <row r="45" spans="1:12" ht="14.25">
      <c r="A45" s="121"/>
      <c r="B45" s="63" t="s">
        <v>57</v>
      </c>
      <c r="C45" s="553"/>
      <c r="D45" s="542"/>
      <c r="E45" s="542"/>
      <c r="F45" s="542"/>
      <c r="G45" s="558"/>
      <c r="H45" s="557">
        <v>-35.65821737931835</v>
      </c>
      <c r="I45" s="557">
        <v>-37.143976436789956</v>
      </c>
      <c r="J45" s="557">
        <v>-38.8012032260578</v>
      </c>
      <c r="K45" s="557">
        <v>-39.406966774395066</v>
      </c>
      <c r="L45" s="557">
        <v>-42.56802089522101</v>
      </c>
    </row>
    <row r="46" spans="1:12" ht="14.25">
      <c r="A46" s="121"/>
      <c r="B46" s="71" t="s">
        <v>157</v>
      </c>
      <c r="C46" s="553"/>
      <c r="D46" s="542"/>
      <c r="E46" s="542"/>
      <c r="F46" s="542"/>
      <c r="G46" s="558"/>
      <c r="H46" s="557">
        <v>14.178771316658628</v>
      </c>
      <c r="I46" s="557">
        <v>14.178771316658628</v>
      </c>
      <c r="J46" s="557">
        <v>14.178771316658628</v>
      </c>
      <c r="K46" s="557">
        <v>14.178771316658628</v>
      </c>
      <c r="L46" s="557">
        <v>14.178771316658628</v>
      </c>
    </row>
    <row r="47" spans="1:12" ht="14.25">
      <c r="A47" s="121"/>
      <c r="B47" s="71" t="s">
        <v>819</v>
      </c>
      <c r="C47" s="553"/>
      <c r="D47" s="542"/>
      <c r="E47" s="143"/>
      <c r="F47" s="143"/>
      <c r="G47" s="143"/>
      <c r="H47" s="510">
        <v>-33.97640092690702</v>
      </c>
      <c r="I47" s="510">
        <v>-31.602493077216987</v>
      </c>
      <c r="J47" s="510">
        <v>-31.181202229429374</v>
      </c>
      <c r="K47" s="510">
        <v>-32.882425059286575</v>
      </c>
      <c r="L47" s="510">
        <v>-32.45275218287277</v>
      </c>
    </row>
    <row r="48" spans="1:12" ht="14.25">
      <c r="A48" s="121"/>
      <c r="B48" s="71"/>
      <c r="C48" s="553"/>
      <c r="D48" s="542"/>
      <c r="E48" s="143"/>
      <c r="F48" s="143"/>
      <c r="G48" s="143"/>
      <c r="H48" s="510"/>
      <c r="I48" s="510"/>
      <c r="J48" s="510"/>
      <c r="K48" s="510"/>
      <c r="L48" s="510"/>
    </row>
    <row r="49" spans="1:12" s="71" customFormat="1" ht="14.25">
      <c r="A49" s="121"/>
      <c r="B49" s="122" t="s">
        <v>419</v>
      </c>
      <c r="C49" s="562"/>
      <c r="D49" s="558"/>
      <c r="E49" s="558"/>
      <c r="F49" s="558"/>
      <c r="G49" s="558"/>
      <c r="H49" s="558"/>
      <c r="I49" s="558"/>
      <c r="J49" s="558"/>
      <c r="K49" s="558"/>
      <c r="L49" s="558"/>
    </row>
    <row r="50" spans="1:12" ht="14.25">
      <c r="A50" s="121"/>
      <c r="B50" s="63" t="s">
        <v>160</v>
      </c>
      <c r="C50" s="222"/>
      <c r="D50" s="543"/>
      <c r="E50" s="543">
        <v>23.915627806427175</v>
      </c>
      <c r="F50" s="543">
        <v>22.013683757889673</v>
      </c>
      <c r="G50" s="543">
        <v>17.471253866248514</v>
      </c>
      <c r="H50" s="543">
        <v>15.10899160360388</v>
      </c>
      <c r="I50" s="543">
        <v>11.338972153376805</v>
      </c>
      <c r="J50" s="543">
        <v>9.883851666322979</v>
      </c>
      <c r="K50" s="543">
        <v>9.079913986543675</v>
      </c>
      <c r="L50" s="543">
        <v>8.98835596357652</v>
      </c>
    </row>
    <row r="51" spans="1:12" ht="14.25">
      <c r="A51" s="121"/>
      <c r="B51" s="77"/>
      <c r="C51" s="553"/>
      <c r="D51" s="542"/>
      <c r="E51" s="542"/>
      <c r="F51" s="542"/>
      <c r="G51" s="542"/>
      <c r="H51" s="542"/>
      <c r="I51" s="542"/>
      <c r="J51" s="542"/>
      <c r="K51" s="542"/>
      <c r="L51" s="542"/>
    </row>
    <row r="52" spans="1:12" ht="14.25">
      <c r="A52" s="121"/>
      <c r="B52" s="77"/>
      <c r="C52" s="553"/>
      <c r="D52" s="542"/>
      <c r="E52" s="542"/>
      <c r="F52" s="542"/>
      <c r="G52" s="542"/>
      <c r="H52" s="542"/>
      <c r="I52" s="542"/>
      <c r="J52" s="542"/>
      <c r="K52" s="542"/>
      <c r="L52" s="542"/>
    </row>
    <row r="53" spans="1:12" ht="14.25">
      <c r="A53" s="121"/>
      <c r="B53" s="110" t="s">
        <v>161</v>
      </c>
      <c r="C53" s="553"/>
      <c r="D53" s="542"/>
      <c r="E53" s="542"/>
      <c r="F53" s="542"/>
      <c r="G53" s="542"/>
      <c r="H53" s="542"/>
      <c r="I53" s="542"/>
      <c r="J53" s="542"/>
      <c r="K53" s="542"/>
      <c r="L53" s="542"/>
    </row>
    <row r="54" spans="1:12" ht="14.25">
      <c r="A54" s="121"/>
      <c r="B54" s="545" t="s">
        <v>535</v>
      </c>
      <c r="C54" s="549"/>
      <c r="D54" s="546"/>
      <c r="E54" s="546">
        <v>7.154993521480293</v>
      </c>
      <c r="F54" s="546">
        <v>6.765046765666209</v>
      </c>
      <c r="G54" s="563">
        <v>14.178771316658628</v>
      </c>
      <c r="H54" s="542"/>
      <c r="I54" s="542"/>
      <c r="J54" s="542"/>
      <c r="K54" s="542"/>
      <c r="L54" s="542"/>
    </row>
    <row r="55" spans="1:12" ht="14.25">
      <c r="A55" s="121"/>
      <c r="B55" s="554" t="s">
        <v>536</v>
      </c>
      <c r="C55" s="555"/>
      <c r="D55" s="556"/>
      <c r="E55" s="556">
        <v>14.1</v>
      </c>
      <c r="F55" s="556">
        <v>14.2</v>
      </c>
      <c r="G55" s="556">
        <v>14</v>
      </c>
      <c r="H55" s="542"/>
      <c r="I55" s="542"/>
      <c r="J55" s="542"/>
      <c r="K55" s="542"/>
      <c r="L55" s="542"/>
    </row>
    <row r="56" spans="1:7" ht="14.25">
      <c r="A56" s="121"/>
      <c r="B56" s="564" t="s">
        <v>768</v>
      </c>
      <c r="C56" s="565"/>
      <c r="D56" s="566"/>
      <c r="E56" s="566">
        <v>14.125</v>
      </c>
      <c r="F56" s="566">
        <v>14.178771316658628</v>
      </c>
      <c r="G56" s="566">
        <v>14.178771316658628</v>
      </c>
    </row>
    <row r="57" spans="1:7" ht="14.25">
      <c r="A57" s="121"/>
      <c r="B57" s="545" t="s">
        <v>537</v>
      </c>
      <c r="C57" s="549"/>
      <c r="D57" s="546"/>
      <c r="E57" s="546">
        <v>3.9054528797972816</v>
      </c>
      <c r="F57" s="546">
        <v>3.8060222002862805</v>
      </c>
      <c r="G57" s="563">
        <v>11.758080727596143</v>
      </c>
    </row>
    <row r="58" spans="1:14" s="71" customFormat="1" ht="14.25">
      <c r="A58" s="121"/>
      <c r="B58" s="121"/>
      <c r="C58" s="562"/>
      <c r="D58" s="558"/>
      <c r="E58" s="558"/>
      <c r="F58" s="558"/>
      <c r="G58" s="172"/>
      <c r="H58" s="558"/>
      <c r="I58" s="558"/>
      <c r="J58" s="558"/>
      <c r="K58" s="558"/>
      <c r="L58" s="558"/>
      <c r="N58" s="63"/>
    </row>
    <row r="59" spans="1:12" ht="14.25">
      <c r="A59" s="121"/>
      <c r="B59" s="554" t="s">
        <v>659</v>
      </c>
      <c r="C59" s="555"/>
      <c r="D59" s="556"/>
      <c r="E59" s="556">
        <v>7.758475874228971</v>
      </c>
      <c r="F59" s="556">
        <v>8.106022282943535</v>
      </c>
      <c r="G59" s="556">
        <v>10.732031805290438</v>
      </c>
      <c r="H59" s="542"/>
      <c r="I59" s="542"/>
      <c r="J59" s="542"/>
      <c r="K59" s="542"/>
      <c r="L59" s="542"/>
    </row>
    <row r="60" spans="1:12" ht="14.25">
      <c r="A60" s="121"/>
      <c r="B60" s="564" t="s">
        <v>300</v>
      </c>
      <c r="C60" s="565"/>
      <c r="D60" s="566"/>
      <c r="E60" s="567">
        <v>0.233</v>
      </c>
      <c r="F60" s="567">
        <v>0.32</v>
      </c>
      <c r="G60" s="567">
        <v>0.32</v>
      </c>
      <c r="H60" s="69"/>
      <c r="I60" s="542"/>
      <c r="J60" s="542"/>
      <c r="K60" s="542"/>
      <c r="L60" s="542"/>
    </row>
    <row r="61" spans="1:12" ht="14.25">
      <c r="A61" s="121"/>
      <c r="B61" s="77" t="s">
        <v>570</v>
      </c>
      <c r="C61" s="553"/>
      <c r="D61" s="542"/>
      <c r="E61" s="566">
        <v>7.9457492946693815</v>
      </c>
      <c r="F61" s="63">
        <v>0</v>
      </c>
      <c r="G61" s="542">
        <v>1.069484669919531</v>
      </c>
      <c r="H61" s="542"/>
      <c r="I61" s="542"/>
      <c r="J61" s="542"/>
      <c r="K61" s="542"/>
      <c r="L61" s="542"/>
    </row>
    <row r="62" spans="1:12" ht="14.25">
      <c r="A62" s="121"/>
      <c r="B62" s="63" t="s">
        <v>431</v>
      </c>
      <c r="C62" s="553"/>
      <c r="D62" s="542"/>
      <c r="E62" s="542"/>
      <c r="F62" s="542"/>
      <c r="G62" s="566">
        <v>4.5590804013754</v>
      </c>
      <c r="H62" s="542"/>
      <c r="I62" s="542"/>
      <c r="J62" s="542"/>
      <c r="K62" s="542"/>
      <c r="L62" s="543"/>
    </row>
    <row r="63" spans="1:12" ht="14.25">
      <c r="A63" s="121"/>
      <c r="B63" s="63" t="s">
        <v>658</v>
      </c>
      <c r="C63" s="553"/>
      <c r="D63" s="542"/>
      <c r="E63" s="542">
        <v>6.8631121315465595</v>
      </c>
      <c r="F63" s="542">
        <v>9.368986001154227</v>
      </c>
      <c r="G63" s="542">
        <v>19.35705111392212</v>
      </c>
      <c r="H63" s="542"/>
      <c r="I63" s="542"/>
      <c r="J63" s="542"/>
      <c r="K63" s="542"/>
      <c r="L63" s="543"/>
    </row>
    <row r="64" spans="2:12" ht="14.25">
      <c r="B64" s="63" t="s">
        <v>661</v>
      </c>
      <c r="E64" s="70">
        <v>0.1697628465773166</v>
      </c>
      <c r="F64" s="70">
        <v>0.4895588890293201</v>
      </c>
      <c r="G64" s="70">
        <v>0.4179277717152773</v>
      </c>
      <c r="H64" s="542"/>
      <c r="I64" s="542"/>
      <c r="J64" s="542"/>
      <c r="K64" s="542"/>
      <c r="L64" s="543"/>
    </row>
    <row r="65" spans="1:12" ht="14.25">
      <c r="A65" s="121"/>
      <c r="B65" s="77" t="s">
        <v>495</v>
      </c>
      <c r="C65" s="77"/>
      <c r="D65" s="542">
        <v>2115.808037465232</v>
      </c>
      <c r="E65" s="542"/>
      <c r="F65" s="542"/>
      <c r="G65" s="542"/>
      <c r="H65" s="542"/>
      <c r="I65" s="542"/>
      <c r="J65" s="542"/>
      <c r="K65" s="542"/>
      <c r="L65" s="543"/>
    </row>
    <row r="66" spans="2:7" ht="14.25">
      <c r="B66" s="63" t="s">
        <v>550</v>
      </c>
      <c r="E66" s="556">
        <v>-0.375</v>
      </c>
      <c r="F66" s="556">
        <v>-1.169590643274854</v>
      </c>
      <c r="G66" s="556">
        <v>-1.2349478851992446</v>
      </c>
    </row>
    <row r="67" spans="2:7" ht="14.25">
      <c r="B67" s="63" t="s">
        <v>551</v>
      </c>
      <c r="E67" s="556">
        <v>0</v>
      </c>
      <c r="F67" s="556">
        <v>0</v>
      </c>
      <c r="G67" s="556">
        <v>0</v>
      </c>
    </row>
    <row r="68" ht="14.25"/>
    <row r="69" spans="2:6" ht="14.25">
      <c r="B69" s="69"/>
      <c r="E69" s="70"/>
      <c r="F69" s="70"/>
    </row>
    <row r="70" spans="2:7" ht="14.25">
      <c r="B70" s="554" t="s">
        <v>785</v>
      </c>
      <c r="E70" s="568">
        <v>406</v>
      </c>
      <c r="F70" s="568">
        <v>411.719298245614</v>
      </c>
      <c r="G70" s="568">
        <v>477.8997236483521</v>
      </c>
    </row>
    <row r="71" spans="2:7" ht="14.25">
      <c r="B71" s="554" t="s">
        <v>66</v>
      </c>
      <c r="E71" s="568">
        <v>-120.16639012140354</v>
      </c>
      <c r="F71" s="568">
        <v>-129.93352935835713</v>
      </c>
      <c r="G71" s="568">
        <v>-141.64350247239864</v>
      </c>
    </row>
    <row r="72" spans="2:12" ht="14.25">
      <c r="B72" s="554" t="s">
        <v>67</v>
      </c>
      <c r="E72" s="568">
        <v>-48.2158021978022</v>
      </c>
      <c r="F72" s="568">
        <v>-56.177944862155385</v>
      </c>
      <c r="G72" s="568">
        <v>-59.30533962236024</v>
      </c>
      <c r="H72" s="569"/>
      <c r="I72" s="569"/>
      <c r="J72" s="569"/>
      <c r="K72" s="569"/>
      <c r="L72" s="569"/>
    </row>
    <row r="73" spans="2:7" ht="14.25">
      <c r="B73" s="554" t="s">
        <v>8</v>
      </c>
      <c r="E73" s="568">
        <v>-40.217459432</v>
      </c>
      <c r="F73" s="568">
        <v>-39.160897577943544</v>
      </c>
      <c r="G73" s="568">
        <v>-38.312922144106224</v>
      </c>
    </row>
    <row r="74" spans="2:7" ht="14.25">
      <c r="B74" s="554" t="s">
        <v>754</v>
      </c>
      <c r="E74" s="568">
        <v>-6.597106750392463</v>
      </c>
      <c r="F74" s="568">
        <v>-10.112228832153646</v>
      </c>
      <c r="G74" s="568">
        <v>-8.088002236843634</v>
      </c>
    </row>
    <row r="75" spans="2:12" ht="14.25">
      <c r="B75" s="554" t="s">
        <v>57</v>
      </c>
      <c r="E75" s="568">
        <v>-33.92284347869331</v>
      </c>
      <c r="F75" s="568">
        <v>-34.43651864704496</v>
      </c>
      <c r="G75" s="568">
        <v>-34.362451003468756</v>
      </c>
      <c r="H75" s="569"/>
      <c r="I75" s="569"/>
      <c r="J75" s="569"/>
      <c r="K75" s="569"/>
      <c r="L75" s="569"/>
    </row>
    <row r="76" spans="2:12" ht="14.25">
      <c r="B76" s="554" t="s">
        <v>162</v>
      </c>
      <c r="E76" s="568">
        <v>47.28396653039178</v>
      </c>
      <c r="F76" s="568">
        <v>40.9422843207492</v>
      </c>
      <c r="G76" s="568">
        <v>40.38075345447861</v>
      </c>
      <c r="H76" s="558"/>
      <c r="I76" s="558"/>
      <c r="J76" s="558"/>
      <c r="K76" s="558"/>
      <c r="L76" s="558"/>
    </row>
    <row r="77" spans="2:12" ht="14.25">
      <c r="B77" s="554" t="s">
        <v>586</v>
      </c>
      <c r="E77" s="568">
        <v>48.60948147330092</v>
      </c>
      <c r="F77" s="568">
        <v>49.44711849476731</v>
      </c>
      <c r="G77" s="568">
        <v>0</v>
      </c>
      <c r="H77" s="71"/>
      <c r="I77" s="71"/>
      <c r="J77" s="71"/>
      <c r="K77" s="71"/>
      <c r="L77" s="71"/>
    </row>
    <row r="78" spans="2:12" ht="14.25">
      <c r="B78" s="554" t="s">
        <v>40</v>
      </c>
      <c r="E78" s="568">
        <v>61.12627523523832</v>
      </c>
      <c r="F78" s="568">
        <v>65.78077712260982</v>
      </c>
      <c r="G78" s="568">
        <v>64.9385421714547</v>
      </c>
      <c r="H78" s="558"/>
      <c r="I78" s="558"/>
      <c r="J78" s="558"/>
      <c r="K78" s="558"/>
      <c r="L78" s="558"/>
    </row>
    <row r="79" spans="2:12" ht="14.25">
      <c r="B79" s="554" t="s">
        <v>587</v>
      </c>
      <c r="E79" s="568">
        <v>17.06338230364286</v>
      </c>
      <c r="F79" s="568">
        <v>15.775083623411456</v>
      </c>
      <c r="G79" s="568">
        <v>0</v>
      </c>
      <c r="H79" s="71"/>
      <c r="I79" s="71"/>
      <c r="J79" s="71"/>
      <c r="K79" s="71"/>
      <c r="L79" s="71"/>
    </row>
    <row r="80" spans="2:12" ht="14.25">
      <c r="B80" s="554" t="s">
        <v>41</v>
      </c>
      <c r="E80" s="568">
        <v>41.37970745980095</v>
      </c>
      <c r="F80" s="568">
        <v>43.41544648899258</v>
      </c>
      <c r="G80" s="568">
        <v>44.911080946644546</v>
      </c>
      <c r="H80" s="558"/>
      <c r="I80" s="558"/>
      <c r="J80" s="558"/>
      <c r="K80" s="558"/>
      <c r="L80" s="558"/>
    </row>
    <row r="81" spans="2:12" ht="14.25">
      <c r="B81" s="554" t="s">
        <v>588</v>
      </c>
      <c r="E81" s="568">
        <v>-0.375</v>
      </c>
      <c r="F81" s="568">
        <v>-1.169590643274854</v>
      </c>
      <c r="G81" s="568">
        <v>-1.2349478851992446</v>
      </c>
      <c r="H81" s="71"/>
      <c r="I81" s="71"/>
      <c r="J81" s="71"/>
      <c r="K81" s="71"/>
      <c r="L81" s="71"/>
    </row>
    <row r="82" spans="2:12" ht="14.25">
      <c r="B82" s="554" t="s">
        <v>589</v>
      </c>
      <c r="E82" s="568">
        <v>0</v>
      </c>
      <c r="F82" s="568">
        <v>0</v>
      </c>
      <c r="G82" s="568">
        <v>0</v>
      </c>
      <c r="H82" s="71"/>
      <c r="I82" s="71"/>
      <c r="J82" s="71"/>
      <c r="K82" s="71"/>
      <c r="L82" s="71"/>
    </row>
    <row r="83" spans="2:12" ht="14.25">
      <c r="B83" s="554" t="s">
        <v>599</v>
      </c>
      <c r="C83" s="555"/>
      <c r="D83" s="556"/>
      <c r="E83" s="568">
        <v>14.1</v>
      </c>
      <c r="F83" s="568">
        <v>14.2</v>
      </c>
      <c r="G83" s="568">
        <v>14</v>
      </c>
      <c r="H83" s="569"/>
      <c r="I83" s="569"/>
      <c r="J83" s="569"/>
      <c r="K83" s="569"/>
      <c r="L83" s="569"/>
    </row>
    <row r="84" spans="2:12" ht="14.25">
      <c r="B84" s="554" t="s">
        <v>163</v>
      </c>
      <c r="C84" s="555"/>
      <c r="D84" s="556"/>
      <c r="E84" s="568">
        <v>3.443132684923034</v>
      </c>
      <c r="F84" s="568">
        <v>3.3554724229648345</v>
      </c>
      <c r="G84" s="568">
        <v>0</v>
      </c>
      <c r="H84" s="569"/>
      <c r="I84" s="569"/>
      <c r="J84" s="569"/>
      <c r="K84" s="569"/>
      <c r="L84" s="569"/>
    </row>
    <row r="85" spans="2:7" ht="14.25">
      <c r="B85" s="554" t="s">
        <v>607</v>
      </c>
      <c r="C85" s="555"/>
      <c r="D85" s="556"/>
      <c r="E85" s="568">
        <v>8.096657746711688</v>
      </c>
      <c r="F85" s="568">
        <v>8.954044765534743</v>
      </c>
      <c r="G85" s="568">
        <v>11.876461141836723</v>
      </c>
    </row>
    <row r="86" spans="2:7" ht="14.25">
      <c r="B86" s="554" t="s">
        <v>481</v>
      </c>
      <c r="C86" s="555"/>
      <c r="D86" s="556"/>
      <c r="E86" s="70">
        <v>7.758475874228971</v>
      </c>
      <c r="F86" s="70">
        <v>8.106022282943535</v>
      </c>
      <c r="G86" s="70">
        <v>10.732031805290438</v>
      </c>
    </row>
    <row r="87" spans="2:7" ht="14.25">
      <c r="B87" s="554" t="s">
        <v>657</v>
      </c>
      <c r="C87" s="555"/>
      <c r="D87" s="556"/>
      <c r="E87" s="568">
        <v>6.8631121315465595</v>
      </c>
      <c r="F87" s="568">
        <v>9.368986001154227</v>
      </c>
      <c r="G87" s="568">
        <v>19.35705111392212</v>
      </c>
    </row>
    <row r="88" spans="2:7" ht="14.25">
      <c r="B88" s="63" t="s">
        <v>667</v>
      </c>
      <c r="E88" s="542">
        <v>0.1697628465773166</v>
      </c>
      <c r="F88" s="542">
        <v>0.4895588890293201</v>
      </c>
      <c r="G88" s="542">
        <v>0.4179277717152773</v>
      </c>
    </row>
    <row r="89" spans="5:7" ht="14.25">
      <c r="E89" s="542"/>
      <c r="F89" s="542"/>
      <c r="G89" s="542"/>
    </row>
    <row r="90" spans="5:7" ht="14.25">
      <c r="E90" s="542"/>
      <c r="F90" s="542"/>
      <c r="G90" s="542"/>
    </row>
    <row r="91" spans="2:7" ht="14.25">
      <c r="B91" s="69" t="s">
        <v>164</v>
      </c>
      <c r="E91" s="542"/>
      <c r="F91" s="542"/>
      <c r="G91" s="542"/>
    </row>
    <row r="92" spans="3:4" ht="14.25">
      <c r="C92" s="555"/>
      <c r="D92" s="556"/>
    </row>
    <row r="93" spans="2:7" ht="14.25">
      <c r="B93" s="554" t="s">
        <v>178</v>
      </c>
      <c r="C93" s="555"/>
      <c r="D93" s="556"/>
      <c r="E93" s="556">
        <v>-0.9279538461538457</v>
      </c>
      <c r="F93" s="556">
        <v>-1.3945119208277101</v>
      </c>
      <c r="G93" s="556">
        <v>-1.632203848270331</v>
      </c>
    </row>
    <row r="94" spans="2:7" ht="14.25">
      <c r="B94" s="554" t="s">
        <v>179</v>
      </c>
      <c r="C94" s="555"/>
      <c r="D94" s="556"/>
      <c r="E94" s="556">
        <v>2.62</v>
      </c>
      <c r="F94" s="556">
        <v>-0.18615984405458263</v>
      </c>
      <c r="G94" s="556">
        <v>1.3149318498759397</v>
      </c>
    </row>
    <row r="95" spans="2:7" ht="14.25">
      <c r="B95" s="554" t="s">
        <v>180</v>
      </c>
      <c r="C95" s="555"/>
      <c r="D95" s="556"/>
      <c r="E95" s="556">
        <v>-6.999936919175379</v>
      </c>
      <c r="F95" s="556">
        <v>-7.459432310936069</v>
      </c>
      <c r="G95" s="556">
        <v>-6.630778344419172</v>
      </c>
    </row>
    <row r="96" spans="2:7" ht="14.25">
      <c r="B96" s="554" t="s">
        <v>192</v>
      </c>
      <c r="C96" s="555"/>
      <c r="D96" s="556"/>
      <c r="E96" s="556">
        <v>-0.255</v>
      </c>
      <c r="F96" s="556">
        <v>-1.169590643274854</v>
      </c>
      <c r="G96" s="556">
        <v>-1.2349478851992446</v>
      </c>
    </row>
    <row r="97" spans="2:7" ht="14.25">
      <c r="B97" s="554" t="s">
        <v>149</v>
      </c>
      <c r="C97" s="555"/>
      <c r="D97" s="556"/>
      <c r="E97" s="556">
        <v>0.08333333333333334</v>
      </c>
      <c r="F97" s="556">
        <v>0.09746588693957116</v>
      </c>
      <c r="G97" s="556">
        <v>0.09499599116917268</v>
      </c>
    </row>
    <row r="98" spans="2:12" ht="25.5">
      <c r="B98" s="238" t="s">
        <v>232</v>
      </c>
      <c r="C98" s="555"/>
      <c r="D98" s="556"/>
      <c r="E98" s="570">
        <v>0.9582319170376117</v>
      </c>
      <c r="F98" s="570">
        <v>0.9052916860707069</v>
      </c>
      <c r="G98" s="570">
        <v>0.9036388598523806</v>
      </c>
      <c r="H98" s="557">
        <v>-1.2035031252528705</v>
      </c>
      <c r="I98" s="557">
        <v>-1.0393208595713954</v>
      </c>
      <c r="J98" s="557">
        <v>-1.1143981816750042</v>
      </c>
      <c r="K98" s="557">
        <v>-1.3345424646299644</v>
      </c>
      <c r="L98" s="557">
        <v>-1.1323730421733644</v>
      </c>
    </row>
    <row r="99" spans="2:7" ht="14.25">
      <c r="B99" s="554"/>
      <c r="C99" s="555"/>
      <c r="D99" s="556"/>
      <c r="E99" s="556"/>
      <c r="F99" s="556"/>
      <c r="G99" s="556"/>
    </row>
    <row r="100" ht="14.25"/>
    <row r="101" spans="2:7" ht="14.25">
      <c r="B101" s="121"/>
      <c r="C101" s="562"/>
      <c r="D101" s="558"/>
      <c r="E101" s="558"/>
      <c r="F101" s="558"/>
      <c r="G101" s="558"/>
    </row>
    <row r="102" ht="14.25">
      <c r="B102" s="69" t="s">
        <v>165</v>
      </c>
    </row>
    <row r="103" spans="2:12" ht="14.25">
      <c r="B103" s="63" t="s">
        <v>636</v>
      </c>
      <c r="E103" s="571">
        <v>0</v>
      </c>
      <c r="F103" s="571">
        <v>0</v>
      </c>
      <c r="G103" s="571">
        <v>0</v>
      </c>
      <c r="H103" s="571">
        <v>0</v>
      </c>
      <c r="I103" s="571">
        <v>0</v>
      </c>
      <c r="J103" s="571">
        <v>0</v>
      </c>
      <c r="K103" s="571">
        <v>0</v>
      </c>
      <c r="L103" s="571">
        <v>0</v>
      </c>
    </row>
    <row r="104" spans="2:12" ht="14.25">
      <c r="B104" s="63" t="s">
        <v>647</v>
      </c>
      <c r="E104" s="563">
        <v>888</v>
      </c>
      <c r="F104" s="563">
        <v>906.8</v>
      </c>
      <c r="G104" s="563">
        <v>939.7</v>
      </c>
      <c r="H104" s="563">
        <v>967.0565158978953</v>
      </c>
      <c r="I104" s="563">
        <v>988.7663144326938</v>
      </c>
      <c r="J104" s="563">
        <v>1018.291268285947</v>
      </c>
      <c r="K104" s="563">
        <v>1068.2912682859471</v>
      </c>
      <c r="L104" s="563">
        <v>1099.991268285947</v>
      </c>
    </row>
    <row r="105" spans="2:13" ht="14.25">
      <c r="B105" s="63" t="s">
        <v>111</v>
      </c>
      <c r="M105" s="121"/>
    </row>
    <row r="106" ht="14.25"/>
    <row r="107" spans="2:12" ht="14.25">
      <c r="B107" s="63" t="s">
        <v>0</v>
      </c>
      <c r="E107" s="563">
        <v>2</v>
      </c>
      <c r="F107" s="563">
        <v>2</v>
      </c>
      <c r="G107" s="563">
        <v>2</v>
      </c>
      <c r="H107" s="563">
        <v>2</v>
      </c>
      <c r="I107" s="563">
        <v>2</v>
      </c>
      <c r="J107" s="563">
        <v>2</v>
      </c>
      <c r="K107" s="563">
        <v>2</v>
      </c>
      <c r="L107" s="563">
        <v>2</v>
      </c>
    </row>
    <row r="108" spans="2:12" ht="14.25">
      <c r="B108" s="63" t="s">
        <v>756</v>
      </c>
      <c r="E108" s="563">
        <v>10.516607987154368</v>
      </c>
      <c r="F108" s="563">
        <v>19.6141689627641</v>
      </c>
      <c r="G108" s="563">
        <v>22.91471089037436</v>
      </c>
      <c r="H108" s="563">
        <v>28.869559736536452</v>
      </c>
      <c r="I108" s="563">
        <v>29.91904329013995</v>
      </c>
      <c r="J108" s="563">
        <v>30.978685165460224</v>
      </c>
      <c r="K108" s="563">
        <v>31.967009868485434</v>
      </c>
      <c r="L108" s="563">
        <v>33.04502556579859</v>
      </c>
    </row>
    <row r="109" spans="2:12" ht="14.25">
      <c r="B109" s="63" t="s">
        <v>637</v>
      </c>
      <c r="E109" s="563">
        <v>1250.4836239959106</v>
      </c>
      <c r="F109" s="563">
        <v>1250.4836239959106</v>
      </c>
      <c r="G109" s="563">
        <v>1250.4836239959106</v>
      </c>
      <c r="H109" s="563">
        <v>1250.4836239959106</v>
      </c>
      <c r="I109" s="563">
        <v>1250.4836239959106</v>
      </c>
      <c r="J109" s="563">
        <v>1250.4836239959106</v>
      </c>
      <c r="K109" s="563">
        <v>1250.4836239959106</v>
      </c>
      <c r="L109" s="563">
        <v>1250.4836239959106</v>
      </c>
    </row>
    <row r="110" spans="2:12" ht="14.25">
      <c r="B110" s="63" t="s">
        <v>648</v>
      </c>
      <c r="E110" s="572">
        <v>48.00001441826066</v>
      </c>
      <c r="F110" s="572">
        <v>-0.0260955817394688</v>
      </c>
      <c r="G110" s="572">
        <v>-0.04299558173954665</v>
      </c>
      <c r="H110" s="572">
        <v>-0.05221558173934682</v>
      </c>
      <c r="I110" s="572">
        <v>-0.06069558173931</v>
      </c>
      <c r="J110" s="572">
        <v>-0.08471558173914673</v>
      </c>
      <c r="K110" s="572">
        <v>-0.10798158173906813</v>
      </c>
      <c r="L110" s="572">
        <v>-0.12203558173928286</v>
      </c>
    </row>
    <row r="111" spans="2:12" ht="14.25">
      <c r="B111" s="63" t="s">
        <v>649</v>
      </c>
      <c r="E111" s="571">
        <v>9</v>
      </c>
      <c r="F111" s="571" t="s">
        <v>21</v>
      </c>
      <c r="G111" s="571" t="s">
        <v>21</v>
      </c>
      <c r="H111" s="571" t="s">
        <v>21</v>
      </c>
      <c r="I111" s="571" t="s">
        <v>21</v>
      </c>
      <c r="J111" s="571" t="s">
        <v>21</v>
      </c>
      <c r="K111" s="571" t="s">
        <v>21</v>
      </c>
      <c r="L111" s="571" t="s">
        <v>21</v>
      </c>
    </row>
    <row r="112" spans="2:12" ht="14.25">
      <c r="B112" s="63" t="s">
        <v>638</v>
      </c>
      <c r="E112" s="563">
        <v>45</v>
      </c>
      <c r="F112" s="563">
        <v>45</v>
      </c>
      <c r="G112" s="563">
        <v>45</v>
      </c>
      <c r="H112" s="563">
        <v>45</v>
      </c>
      <c r="I112" s="563">
        <v>45</v>
      </c>
      <c r="J112" s="563">
        <v>45</v>
      </c>
      <c r="K112" s="563">
        <v>45</v>
      </c>
      <c r="L112" s="563">
        <v>45</v>
      </c>
    </row>
    <row r="113" ht="14.25"/>
    <row r="114" spans="2:12" ht="14.25">
      <c r="B114" s="63" t="s">
        <v>639</v>
      </c>
      <c r="E114" s="573">
        <v>-217</v>
      </c>
      <c r="F114" s="573">
        <v>-207.6168111317385</v>
      </c>
      <c r="G114" s="573">
        <v>-205.0871180517254</v>
      </c>
      <c r="H114" s="573">
        <v>-189.87755056725393</v>
      </c>
      <c r="I114" s="573">
        <v>-184.11550048412423</v>
      </c>
      <c r="J114" s="573">
        <v>-176.27975585361153</v>
      </c>
      <c r="K114" s="573">
        <v>-179.2113519562862</v>
      </c>
      <c r="L114" s="573">
        <v>-176.18353910931074</v>
      </c>
    </row>
    <row r="115" spans="2:12" ht="14.25">
      <c r="B115" s="63" t="s">
        <v>640</v>
      </c>
      <c r="E115" s="574">
        <v>-66.60399718774457</v>
      </c>
      <c r="F115" s="574">
        <v>-58.07374002948481</v>
      </c>
      <c r="G115" s="574">
        <v>-58.07374002948481</v>
      </c>
      <c r="H115" s="574">
        <v>-58.07374002948481</v>
      </c>
      <c r="I115" s="574">
        <v>-58.07374002948481</v>
      </c>
      <c r="J115" s="574">
        <v>-58.07374002948481</v>
      </c>
      <c r="K115" s="574">
        <v>-58.07374002948481</v>
      </c>
      <c r="L115" s="574">
        <v>-58.07374002948481</v>
      </c>
    </row>
    <row r="116" spans="2:12" ht="14.25">
      <c r="B116" s="63" t="s">
        <v>641</v>
      </c>
      <c r="E116" s="574">
        <v>-70.59564344078399</v>
      </c>
      <c r="F116" s="574">
        <v>-71.99086059835878</v>
      </c>
      <c r="G116" s="574">
        <v>-73.49496059835877</v>
      </c>
      <c r="H116" s="574">
        <v>-75.02576059835877</v>
      </c>
      <c r="I116" s="574">
        <v>-76.57436059835878</v>
      </c>
      <c r="J116" s="574">
        <v>-78.12296059835879</v>
      </c>
      <c r="K116" s="574">
        <v>-79.6982605983588</v>
      </c>
      <c r="L116" s="574">
        <v>-81.32696059835877</v>
      </c>
    </row>
    <row r="117" spans="5:12" ht="14.25">
      <c r="E117" s="77"/>
      <c r="F117" s="77"/>
      <c r="G117" s="77"/>
      <c r="H117" s="77"/>
      <c r="I117" s="77"/>
      <c r="J117" s="77"/>
      <c r="K117" s="77"/>
      <c r="L117" s="77"/>
    </row>
    <row r="118" spans="2:12" ht="14.25">
      <c r="B118" s="63" t="s">
        <v>650</v>
      </c>
      <c r="E118" s="574">
        <v>-574</v>
      </c>
      <c r="F118" s="574">
        <v>-549.1799520258891</v>
      </c>
      <c r="G118" s="574">
        <v>-542.4885058142415</v>
      </c>
      <c r="H118" s="574">
        <v>-502.2567466617685</v>
      </c>
      <c r="I118" s="574">
        <v>-487.0151948289738</v>
      </c>
      <c r="J118" s="574">
        <v>-466.28838645148863</v>
      </c>
      <c r="K118" s="574">
        <v>-474.0429309811442</v>
      </c>
      <c r="L118" s="574">
        <v>-466.0338776439833</v>
      </c>
    </row>
    <row r="119" spans="2:12" ht="14.25">
      <c r="B119" s="63" t="s">
        <v>651</v>
      </c>
      <c r="E119" s="574" t="s">
        <v>21</v>
      </c>
      <c r="F119" s="574" t="s">
        <v>21</v>
      </c>
      <c r="G119" s="574" t="s">
        <v>21</v>
      </c>
      <c r="H119" s="574" t="s">
        <v>21</v>
      </c>
      <c r="I119" s="574" t="s">
        <v>21</v>
      </c>
      <c r="J119" s="574" t="s">
        <v>21</v>
      </c>
      <c r="K119" s="574" t="s">
        <v>21</v>
      </c>
      <c r="L119" s="574" t="s">
        <v>21</v>
      </c>
    </row>
    <row r="120" spans="2:12" ht="14.25">
      <c r="B120" s="63" t="s">
        <v>642</v>
      </c>
      <c r="E120" s="574">
        <v>-204</v>
      </c>
      <c r="F120" s="574">
        <v>-217.3543828424252</v>
      </c>
      <c r="G120" s="574">
        <v>-232.7502828424252</v>
      </c>
      <c r="H120" s="574">
        <v>-248.4194828424252</v>
      </c>
      <c r="I120" s="574">
        <v>-264.27088284242524</v>
      </c>
      <c r="J120" s="574">
        <v>-280.12228284242525</v>
      </c>
      <c r="K120" s="574">
        <v>-296.24698284242527</v>
      </c>
      <c r="L120" s="574">
        <v>-312.91828284242524</v>
      </c>
    </row>
    <row r="121" spans="2:12" ht="14.25">
      <c r="B121" s="63" t="s">
        <v>788</v>
      </c>
      <c r="E121" s="574">
        <v>-92</v>
      </c>
      <c r="F121" s="574">
        <v>-95.3057497380205</v>
      </c>
      <c r="G121" s="574">
        <v>-97.93076031953734</v>
      </c>
      <c r="H121" s="574">
        <v>-69.80364268723929</v>
      </c>
      <c r="I121" s="574">
        <v>-36.59170387936646</v>
      </c>
      <c r="J121" s="574">
        <v>-2.4971526297856386</v>
      </c>
      <c r="K121" s="574">
        <v>32.10604500426823</v>
      </c>
      <c r="L121" s="574">
        <v>68.59236794018605</v>
      </c>
    </row>
    <row r="122" spans="2:12" ht="14.25">
      <c r="B122" s="63" t="s">
        <v>69</v>
      </c>
      <c r="E122" s="574">
        <v>-4</v>
      </c>
      <c r="F122" s="574">
        <v>-13.041707257919178</v>
      </c>
      <c r="G122" s="574">
        <v>-19.463557395322027</v>
      </c>
      <c r="H122" s="574">
        <v>-46.36226397828357</v>
      </c>
      <c r="I122" s="574">
        <v>-47.92696805139734</v>
      </c>
      <c r="J122" s="574">
        <v>-48.86827669471086</v>
      </c>
      <c r="K122" s="574">
        <v>-49.45877346996839</v>
      </c>
      <c r="L122" s="574">
        <v>-50.16666276849685</v>
      </c>
    </row>
    <row r="123" spans="2:12" ht="14.25">
      <c r="B123" s="63" t="s">
        <v>344</v>
      </c>
      <c r="E123" s="574" t="s">
        <v>21</v>
      </c>
      <c r="F123" s="574" t="s">
        <v>21</v>
      </c>
      <c r="G123" s="574" t="s">
        <v>21</v>
      </c>
      <c r="H123" s="574" t="s">
        <v>21</v>
      </c>
      <c r="I123" s="574" t="s">
        <v>21</v>
      </c>
      <c r="J123" s="574" t="s">
        <v>21</v>
      </c>
      <c r="K123" s="574" t="s">
        <v>21</v>
      </c>
      <c r="L123" s="574" t="s">
        <v>21</v>
      </c>
    </row>
    <row r="124" spans="2:12" ht="14.25">
      <c r="B124" s="63" t="s">
        <v>643</v>
      </c>
      <c r="E124" s="574">
        <v>-9</v>
      </c>
      <c r="F124" s="574">
        <v>-8.569595</v>
      </c>
      <c r="G124" s="574">
        <v>-7.840095</v>
      </c>
      <c r="H124" s="574">
        <v>-7.056495</v>
      </c>
      <c r="I124" s="574">
        <v>-6.147895</v>
      </c>
      <c r="J124" s="574">
        <v>-4.939295</v>
      </c>
      <c r="K124" s="574">
        <v>-4.555695000000001</v>
      </c>
      <c r="L124" s="574">
        <v>-4.1720950000000006</v>
      </c>
    </row>
    <row r="125" spans="2:12" ht="14.25">
      <c r="B125" s="63" t="s">
        <v>653</v>
      </c>
      <c r="E125" s="574">
        <v>-11</v>
      </c>
      <c r="F125" s="574">
        <v>-4.216252815533979</v>
      </c>
      <c r="G125" s="574">
        <v>-2.450949637963885</v>
      </c>
      <c r="H125" s="574">
        <v>-2.199258205239562</v>
      </c>
      <c r="I125" s="574">
        <v>-2.01426802490255</v>
      </c>
      <c r="J125" s="574">
        <v>-1.9336622818363138</v>
      </c>
      <c r="K125" s="574">
        <v>-1.8530565387700775</v>
      </c>
      <c r="L125" s="574">
        <v>-1.7724507957038411</v>
      </c>
    </row>
    <row r="126" spans="2:12" ht="14.25">
      <c r="B126" s="63" t="s">
        <v>117</v>
      </c>
      <c r="E126" s="574" t="s">
        <v>21</v>
      </c>
      <c r="F126" s="574" t="s">
        <v>21</v>
      </c>
      <c r="G126" s="574" t="s">
        <v>21</v>
      </c>
      <c r="H126" s="574" t="s">
        <v>21</v>
      </c>
      <c r="I126" s="574" t="s">
        <v>21</v>
      </c>
      <c r="J126" s="574" t="s">
        <v>21</v>
      </c>
      <c r="K126" s="574" t="s">
        <v>21</v>
      </c>
      <c r="L126" s="574" t="s">
        <v>21</v>
      </c>
    </row>
    <row r="127" spans="5:12" ht="14.25">
      <c r="E127" s="77"/>
      <c r="F127" s="77"/>
      <c r="G127" s="77"/>
      <c r="H127" s="77"/>
      <c r="I127" s="77"/>
      <c r="J127" s="77"/>
      <c r="K127" s="77"/>
      <c r="L127" s="77"/>
    </row>
    <row r="128" spans="2:12" ht="14.25">
      <c r="B128" s="63" t="s">
        <v>654</v>
      </c>
      <c r="E128" s="574">
        <v>1038.0430000000001</v>
      </c>
      <c r="F128" s="574">
        <v>1038.0430000000001</v>
      </c>
      <c r="G128" s="574">
        <v>1038.0430000000001</v>
      </c>
      <c r="H128" s="574">
        <v>1038.0430000000001</v>
      </c>
      <c r="I128" s="574">
        <v>1038.0430000000001</v>
      </c>
      <c r="J128" s="574">
        <v>1038.0430000000001</v>
      </c>
      <c r="K128" s="574">
        <v>1038.0430000000001</v>
      </c>
      <c r="L128" s="574">
        <v>1038.0430000000001</v>
      </c>
    </row>
    <row r="129" spans="2:12" ht="14.25">
      <c r="B129" s="63" t="s">
        <v>96</v>
      </c>
      <c r="E129" s="574">
        <v>-33.242394227202894</v>
      </c>
      <c r="F129" s="574">
        <v>-39.520354062434635</v>
      </c>
      <c r="G129" s="574">
        <v>-17.567630384513336</v>
      </c>
      <c r="H129" s="574">
        <v>56.239543478549336</v>
      </c>
      <c r="I129" s="574">
        <v>115.33477239797188</v>
      </c>
      <c r="J129" s="574">
        <v>191.50890348387685</v>
      </c>
      <c r="K129" s="574">
        <v>248.55222615643444</v>
      </c>
      <c r="L129" s="574">
        <v>310.27990141833953</v>
      </c>
    </row>
    <row r="130" spans="2:12" ht="14.25">
      <c r="B130" s="63" t="s">
        <v>645</v>
      </c>
      <c r="E130" s="574" t="s">
        <v>21</v>
      </c>
      <c r="F130" s="574" t="s">
        <v>21</v>
      </c>
      <c r="G130" s="574" t="s">
        <v>21</v>
      </c>
      <c r="H130" s="574" t="s">
        <v>21</v>
      </c>
      <c r="I130" s="574" t="s">
        <v>21</v>
      </c>
      <c r="J130" s="574" t="s">
        <v>21</v>
      </c>
      <c r="K130" s="574" t="s">
        <v>21</v>
      </c>
      <c r="L130" s="574" t="s">
        <v>21</v>
      </c>
    </row>
    <row r="131" spans="5:7" ht="14.25">
      <c r="E131" s="575"/>
      <c r="F131" s="575"/>
      <c r="G131" s="575"/>
    </row>
    <row r="132" spans="2:5" ht="14.25">
      <c r="B132" s="63" t="s">
        <v>655</v>
      </c>
      <c r="C132" s="124"/>
      <c r="D132" s="522"/>
      <c r="E132" s="116">
        <v>1</v>
      </c>
    </row>
    <row r="133" spans="2:5" ht="14.25">
      <c r="B133" s="63" t="s">
        <v>348</v>
      </c>
      <c r="E133" s="82"/>
    </row>
    <row r="134" spans="2:5" ht="14.25">
      <c r="B134" s="63" t="s">
        <v>349</v>
      </c>
      <c r="E134" s="82"/>
    </row>
    <row r="135" spans="2:7" ht="14.25">
      <c r="B135" s="63" t="s">
        <v>368</v>
      </c>
      <c r="F135" s="568">
        <v>-1.169590643274854</v>
      </c>
      <c r="G135" s="568">
        <v>-1.2349478851992446</v>
      </c>
    </row>
    <row r="136" spans="2:7" ht="14.25">
      <c r="B136" s="63" t="s">
        <v>499</v>
      </c>
      <c r="F136" s="568">
        <v>0</v>
      </c>
      <c r="G136" s="568">
        <v>0</v>
      </c>
    </row>
    <row r="137" spans="6:7" ht="14.25">
      <c r="F137" s="575"/>
      <c r="G137" s="575"/>
    </row>
    <row r="138" spans="2:7" ht="14.25">
      <c r="B138" s="63" t="s">
        <v>745</v>
      </c>
      <c r="F138" s="575"/>
      <c r="G138" s="575"/>
    </row>
    <row r="139" spans="2:7" ht="14.25">
      <c r="B139" s="63" t="s">
        <v>746</v>
      </c>
      <c r="F139" s="575"/>
      <c r="G139" s="568">
        <v>0</v>
      </c>
    </row>
    <row r="140" spans="2:7" ht="14.25">
      <c r="B140" s="63" t="s">
        <v>747</v>
      </c>
      <c r="G140" s="576">
        <v>1</v>
      </c>
    </row>
    <row r="141" ht="14.25">
      <c r="G141" s="71"/>
    </row>
    <row r="142" ht="14.25">
      <c r="G142" s="71"/>
    </row>
    <row r="143" spans="2:7" ht="14.25">
      <c r="B143" s="216" t="s">
        <v>166</v>
      </c>
      <c r="C143" s="562"/>
      <c r="D143" s="558"/>
      <c r="E143" s="558"/>
      <c r="F143" s="558"/>
      <c r="G143" s="558"/>
    </row>
    <row r="145" ht="14.25">
      <c r="B145" s="63" t="s">
        <v>196</v>
      </c>
    </row>
    <row r="146" spans="2:6" ht="14.25">
      <c r="B146" s="63" t="s">
        <v>197</v>
      </c>
      <c r="E146" s="577">
        <v>20.960254188622997</v>
      </c>
      <c r="F146" s="577">
        <v>17.678000919138665</v>
      </c>
    </row>
    <row r="147" spans="2:6" ht="14.25">
      <c r="B147" s="63" t="s">
        <v>148</v>
      </c>
      <c r="E147" s="577">
        <v>47.28396653039178</v>
      </c>
      <c r="F147" s="577">
        <v>40.9422843207492</v>
      </c>
    </row>
    <row r="148" spans="2:6" ht="14.25">
      <c r="B148" s="63" t="s">
        <v>198</v>
      </c>
      <c r="E148" s="577">
        <v>26.323712341768783</v>
      </c>
      <c r="F148" s="577">
        <v>23.264283401610538</v>
      </c>
    </row>
    <row r="149" spans="5:6" ht="14.25">
      <c r="E149" s="70"/>
      <c r="F149" s="70"/>
    </row>
    <row r="150" spans="2:6" ht="14.25">
      <c r="B150" s="63" t="s">
        <v>199</v>
      </c>
      <c r="E150" s="70"/>
      <c r="F150" s="70"/>
    </row>
    <row r="151" spans="2:6" ht="14.25">
      <c r="B151" s="63" t="s">
        <v>197</v>
      </c>
      <c r="E151" s="577">
        <v>17.06338230364286</v>
      </c>
      <c r="F151" s="577">
        <v>15.775083623411456</v>
      </c>
    </row>
    <row r="152" spans="2:6" ht="14.25">
      <c r="B152" s="63" t="s">
        <v>148</v>
      </c>
      <c r="E152" s="577">
        <v>41.37970745980095</v>
      </c>
      <c r="F152" s="577">
        <v>43.41544648899258</v>
      </c>
    </row>
    <row r="153" spans="2:6" ht="14.25">
      <c r="B153" s="63" t="s">
        <v>303</v>
      </c>
      <c r="E153" s="578">
        <v>0</v>
      </c>
      <c r="F153" s="578">
        <v>0</v>
      </c>
    </row>
    <row r="154" spans="2:6" ht="14.25">
      <c r="B154" s="63" t="s">
        <v>304</v>
      </c>
      <c r="E154" s="577">
        <v>41.37970745980095</v>
      </c>
      <c r="F154" s="577">
        <v>43.41544648899258</v>
      </c>
    </row>
    <row r="155" spans="2:6" ht="14.25">
      <c r="B155" s="63" t="s">
        <v>198</v>
      </c>
      <c r="E155" s="577">
        <v>24.316325156158086</v>
      </c>
      <c r="F155" s="577">
        <v>27.640362865581125</v>
      </c>
    </row>
    <row r="156" spans="5:6" ht="14.25">
      <c r="E156" s="70"/>
      <c r="F156" s="70"/>
    </row>
    <row r="157" spans="2:6" ht="14.25">
      <c r="B157" s="63" t="s">
        <v>200</v>
      </c>
      <c r="E157" s="70"/>
      <c r="F157" s="70"/>
    </row>
    <row r="158" spans="2:6" ht="14.25">
      <c r="B158" s="63" t="s">
        <v>201</v>
      </c>
      <c r="E158" s="577">
        <v>29.491945340444428</v>
      </c>
      <c r="F158" s="577">
        <v>25.565542730844392</v>
      </c>
    </row>
    <row r="159" spans="2:6" ht="14.25">
      <c r="B159" s="63" t="s">
        <v>202</v>
      </c>
      <c r="E159" s="577">
        <v>80.1319828383713</v>
      </c>
      <c r="F159" s="577">
        <v>76.47018899803605</v>
      </c>
    </row>
    <row r="160" spans="2:6" ht="14.25">
      <c r="B160" s="63" t="s">
        <v>205</v>
      </c>
      <c r="E160" s="577">
        <v>50.64003749792687</v>
      </c>
      <c r="F160" s="577">
        <v>50.90464626719166</v>
      </c>
    </row>
    <row r="161" spans="5:6" ht="14.25">
      <c r="E161" s="70"/>
      <c r="F161" s="70"/>
    </row>
    <row r="162" spans="2:7" ht="14.25">
      <c r="B162" s="63" t="s">
        <v>541</v>
      </c>
      <c r="D162" s="89"/>
      <c r="E162" s="579">
        <v>0</v>
      </c>
      <c r="F162" s="579">
        <v>0</v>
      </c>
      <c r="G162" s="63" t="s">
        <v>167</v>
      </c>
    </row>
    <row r="163" spans="2:7" ht="14.25">
      <c r="B163" s="63" t="s">
        <v>542</v>
      </c>
      <c r="D163" s="89"/>
      <c r="E163" s="579">
        <v>35.03720360842368</v>
      </c>
      <c r="F163" s="579">
        <v>31.659386016930576</v>
      </c>
      <c r="G163" s="63" t="s">
        <v>167</v>
      </c>
    </row>
    <row r="164" spans="2:7" ht="14.25">
      <c r="B164" s="63" t="s">
        <v>543</v>
      </c>
      <c r="D164" s="89"/>
      <c r="E164" s="579">
        <v>8.434883165211522</v>
      </c>
      <c r="F164" s="579">
        <v>10.680911136577064</v>
      </c>
      <c r="G164" s="63" t="s">
        <v>167</v>
      </c>
    </row>
    <row r="165" spans="2:7" ht="14.25">
      <c r="B165" s="63" t="s">
        <v>336</v>
      </c>
      <c r="D165" s="89"/>
      <c r="E165" s="579">
        <v>0</v>
      </c>
      <c r="F165" s="579">
        <v>0</v>
      </c>
      <c r="G165" s="63" t="s">
        <v>167</v>
      </c>
    </row>
    <row r="166" spans="5:6" ht="14.25">
      <c r="E166" s="70"/>
      <c r="F166" s="70"/>
    </row>
    <row r="167" ht="14.25">
      <c r="B167" s="63" t="s">
        <v>210</v>
      </c>
    </row>
    <row r="168" spans="2:7" ht="14.25">
      <c r="B168" s="63" t="s">
        <v>211</v>
      </c>
      <c r="G168" s="577">
        <v>41.9807534544786</v>
      </c>
    </row>
    <row r="169" spans="2:7" ht="14.25">
      <c r="B169" s="63" t="s">
        <v>212</v>
      </c>
      <c r="G169" s="577">
        <v>-1.1950597903887115</v>
      </c>
    </row>
    <row r="170" spans="2:7" ht="14.25">
      <c r="B170" s="63" t="s">
        <v>215</v>
      </c>
      <c r="G170" s="577">
        <v>40.78569366408989</v>
      </c>
    </row>
    <row r="171" spans="2:7" ht="14.25">
      <c r="B171" s="63" t="s">
        <v>217</v>
      </c>
      <c r="G171" s="577">
        <v>44.911080946644546</v>
      </c>
    </row>
    <row r="172" spans="2:7" ht="14.25">
      <c r="B172" s="63" t="s">
        <v>218</v>
      </c>
      <c r="G172" s="577">
        <v>-6.0915924136060084</v>
      </c>
    </row>
    <row r="173" spans="2:7" ht="14.25">
      <c r="B173" s="63" t="s">
        <v>224</v>
      </c>
      <c r="G173" s="577">
        <v>38.81948853303854</v>
      </c>
    </row>
    <row r="174" spans="2:7" ht="14.25">
      <c r="B174" s="63" t="s">
        <v>213</v>
      </c>
      <c r="G174" s="577">
        <v>64.93854217145469</v>
      </c>
    </row>
    <row r="175" spans="2:7" ht="14.25">
      <c r="B175" s="63" t="s">
        <v>214</v>
      </c>
      <c r="G175" s="577">
        <v>0</v>
      </c>
    </row>
    <row r="176" spans="2:7" ht="14.25">
      <c r="B176" s="63" t="s">
        <v>216</v>
      </c>
      <c r="G176" s="577">
        <v>64.93854217145469</v>
      </c>
    </row>
    <row r="179" spans="2:13" s="77" customFormat="1" ht="14.25">
      <c r="B179" s="216" t="s">
        <v>168</v>
      </c>
      <c r="M179" s="121"/>
    </row>
    <row r="180" spans="1:2" ht="14.25">
      <c r="A180" s="216"/>
      <c r="B180" s="259" t="s">
        <v>408</v>
      </c>
    </row>
    <row r="181" spans="2:7" ht="14.25">
      <c r="B181" s="63" t="s">
        <v>434</v>
      </c>
      <c r="D181" s="63" t="s">
        <v>236</v>
      </c>
      <c r="G181" s="70">
        <v>1.1549590446266913</v>
      </c>
    </row>
    <row r="182" spans="2:7" ht="14.25">
      <c r="B182" s="63" t="s">
        <v>235</v>
      </c>
      <c r="D182" s="63" t="s">
        <v>237</v>
      </c>
      <c r="G182" s="70">
        <v>3.8025932046628936</v>
      </c>
    </row>
    <row r="184" spans="2:7" ht="14.25">
      <c r="B184" s="77" t="s">
        <v>598</v>
      </c>
      <c r="D184" s="63" t="s">
        <v>238</v>
      </c>
      <c r="G184" s="580">
        <v>-14.178771316658628</v>
      </c>
    </row>
    <row r="185" spans="2:7" ht="14.25">
      <c r="B185" s="77" t="s">
        <v>669</v>
      </c>
      <c r="D185" s="63" t="s">
        <v>240</v>
      </c>
      <c r="G185" s="569">
        <v>-11.758080727596143</v>
      </c>
    </row>
    <row r="186" spans="2:7" ht="14.25">
      <c r="B186" s="63" t="s">
        <v>307</v>
      </c>
      <c r="D186" s="63" t="s">
        <v>239</v>
      </c>
      <c r="G186" s="557">
        <v>-124.01432238858658</v>
      </c>
    </row>
    <row r="187" ht="14.25">
      <c r="A187" s="216"/>
    </row>
    <row r="188" spans="2:7" ht="14.25">
      <c r="B188" s="77" t="s">
        <v>729</v>
      </c>
      <c r="D188" s="63" t="s">
        <v>730</v>
      </c>
      <c r="G188" s="401">
        <v>0</v>
      </c>
    </row>
    <row r="189" spans="2:7" ht="14.25">
      <c r="B189" s="77" t="s">
        <v>731</v>
      </c>
      <c r="D189" s="132" t="s">
        <v>452</v>
      </c>
      <c r="G189" s="401">
        <v>6.35556529583351</v>
      </c>
    </row>
    <row r="190" spans="2:7" ht="14.25">
      <c r="B190" s="77" t="s">
        <v>109</v>
      </c>
      <c r="D190" s="132" t="s">
        <v>452</v>
      </c>
      <c r="G190" s="401">
        <v>21.185217652778324</v>
      </c>
    </row>
    <row r="191" spans="2:7" ht="14.25">
      <c r="B191" s="77" t="s">
        <v>409</v>
      </c>
      <c r="D191" s="63" t="s">
        <v>188</v>
      </c>
      <c r="G191" s="63">
        <v>19.643627529509406</v>
      </c>
    </row>
    <row r="193" ht="14.25">
      <c r="B193" s="259" t="s">
        <v>412</v>
      </c>
    </row>
    <row r="194" spans="2:6" ht="14.25">
      <c r="B194" s="98" t="s">
        <v>696</v>
      </c>
      <c r="E194" s="563">
        <v>1.4209217817814224</v>
      </c>
      <c r="F194" s="563">
        <v>1.3777062114634042</v>
      </c>
    </row>
    <row r="195" ht="14.25">
      <c r="B195" s="69"/>
    </row>
    <row r="196" spans="2:4" ht="14.25">
      <c r="B196" s="63" t="s">
        <v>693</v>
      </c>
      <c r="D196" s="563">
        <v>2115.808037465232</v>
      </c>
    </row>
    <row r="197" spans="2:4" ht="14.25">
      <c r="B197" s="63" t="s">
        <v>694</v>
      </c>
      <c r="D197" s="563">
        <v>18.265795637183032</v>
      </c>
    </row>
    <row r="199" spans="2:5" ht="14.25">
      <c r="B199" s="63" t="s">
        <v>241</v>
      </c>
      <c r="D199" s="63" t="s">
        <v>242</v>
      </c>
      <c r="E199" s="62">
        <v>2072.356649905407</v>
      </c>
    </row>
    <row r="200" spans="2:5" ht="14.25">
      <c r="B200" s="63" t="s">
        <v>243</v>
      </c>
      <c r="D200" s="63" t="s">
        <v>248</v>
      </c>
      <c r="E200" s="62">
        <v>2095.159335378906</v>
      </c>
    </row>
    <row r="201" spans="2:5" ht="14.25">
      <c r="B201" s="63" t="s">
        <v>249</v>
      </c>
      <c r="D201" s="63" t="s">
        <v>250</v>
      </c>
      <c r="E201" s="62">
        <v>2115.808037465232</v>
      </c>
    </row>
    <row r="202" spans="2:5" ht="14.25">
      <c r="B202" s="63" t="s">
        <v>251</v>
      </c>
      <c r="D202" s="63" t="s">
        <v>252</v>
      </c>
      <c r="E202" s="62">
        <v>-218.7395527454657</v>
      </c>
    </row>
    <row r="203" spans="2:5" ht="14.25">
      <c r="B203" s="63" t="s">
        <v>253</v>
      </c>
      <c r="D203" s="63" t="s">
        <v>254</v>
      </c>
      <c r="E203" s="62">
        <v>179.71016442666252</v>
      </c>
    </row>
    <row r="204" spans="2:5" ht="14.25">
      <c r="B204" s="63" t="s">
        <v>255</v>
      </c>
      <c r="D204" s="63" t="s">
        <v>256</v>
      </c>
      <c r="E204" s="62">
        <v>-4.421999241022115</v>
      </c>
    </row>
    <row r="205" spans="2:5" ht="14.25">
      <c r="B205" s="63" t="s">
        <v>257</v>
      </c>
      <c r="D205" s="63" t="s">
        <v>260</v>
      </c>
      <c r="E205" s="62">
        <v>2295.518201891894</v>
      </c>
    </row>
    <row r="206" spans="2:5" ht="14.25">
      <c r="B206" s="63" t="s">
        <v>261</v>
      </c>
      <c r="D206" s="63" t="s">
        <v>262</v>
      </c>
      <c r="E206" s="62">
        <v>-297.37813812933837</v>
      </c>
    </row>
    <row r="207" spans="2:5" ht="14.25">
      <c r="B207" s="63" t="s">
        <v>263</v>
      </c>
      <c r="D207" s="63" t="s">
        <v>264</v>
      </c>
      <c r="E207" s="62">
        <v>53.83322208695092</v>
      </c>
    </row>
    <row r="208" spans="2:5" ht="14.25">
      <c r="B208" s="63" t="s">
        <v>265</v>
      </c>
      <c r="D208" s="63" t="s">
        <v>266</v>
      </c>
      <c r="E208" s="62">
        <v>36.31462806979553</v>
      </c>
    </row>
    <row r="209" spans="2:11" ht="14.25">
      <c r="B209" s="63" t="s">
        <v>267</v>
      </c>
      <c r="D209" s="63" t="s">
        <v>268</v>
      </c>
      <c r="G209" s="62">
        <v>-5.748606743483469</v>
      </c>
      <c r="H209" s="62">
        <v>-16.701681499918816</v>
      </c>
      <c r="I209" s="62">
        <v>-13.864339826393245</v>
      </c>
      <c r="J209" s="62">
        <v>-38.28006008882423</v>
      </c>
      <c r="K209" s="62">
        <v>-38.03420518302719</v>
      </c>
    </row>
    <row r="210" spans="2:5" ht="14.25">
      <c r="B210" s="63" t="s">
        <v>269</v>
      </c>
      <c r="D210" s="63" t="s">
        <v>270</v>
      </c>
      <c r="E210" s="62">
        <v>-0.6266421108196834</v>
      </c>
    </row>
    <row r="211" spans="2:5" ht="14.25">
      <c r="B211" s="63" t="s">
        <v>271</v>
      </c>
      <c r="D211" s="63" t="s">
        <v>272</v>
      </c>
      <c r="E211" s="62">
        <v>24.80574962059015</v>
      </c>
    </row>
    <row r="212" spans="2:5" ht="14.25">
      <c r="B212" s="63" t="s">
        <v>273</v>
      </c>
      <c r="D212" s="63" t="s">
        <v>274</v>
      </c>
      <c r="E212" s="62">
        <v>-2.00306414709147</v>
      </c>
    </row>
    <row r="213" spans="2:5" ht="14.25">
      <c r="B213" s="63" t="s">
        <v>275</v>
      </c>
      <c r="D213" s="63" t="s">
        <v>282</v>
      </c>
      <c r="E213" s="62">
        <v>-0.7520107445112296</v>
      </c>
    </row>
    <row r="214" spans="2:7" ht="14.25">
      <c r="B214" s="63" t="s">
        <v>576</v>
      </c>
      <c r="D214" s="63" t="s">
        <v>283</v>
      </c>
      <c r="G214" s="62">
        <v>5.9663456129528445</v>
      </c>
    </row>
    <row r="216" spans="2:8" ht="14.25">
      <c r="B216" s="259" t="s">
        <v>413</v>
      </c>
      <c r="C216" s="77"/>
      <c r="D216" s="77"/>
      <c r="E216" s="77"/>
      <c r="G216" s="77"/>
      <c r="H216" s="77"/>
    </row>
    <row r="217" spans="2:8" ht="14.25">
      <c r="B217" s="63" t="s">
        <v>241</v>
      </c>
      <c r="D217" s="77" t="s">
        <v>284</v>
      </c>
      <c r="E217" s="62">
        <v>2044.347479710941</v>
      </c>
      <c r="H217" s="131"/>
    </row>
    <row r="218" spans="2:8" ht="14.25">
      <c r="B218" s="63" t="s">
        <v>243</v>
      </c>
      <c r="D218" s="77" t="s">
        <v>285</v>
      </c>
      <c r="E218" s="62">
        <v>2066.84197291534</v>
      </c>
      <c r="H218" s="131"/>
    </row>
    <row r="219" spans="2:8" ht="14.25">
      <c r="B219" s="63" t="s">
        <v>286</v>
      </c>
      <c r="D219" s="77" t="s">
        <v>287</v>
      </c>
      <c r="E219" s="62">
        <v>2102.0476138722297</v>
      </c>
      <c r="H219" s="131"/>
    </row>
    <row r="220" spans="2:8" ht="14.25">
      <c r="B220" s="63" t="s">
        <v>249</v>
      </c>
      <c r="D220" s="77" t="s">
        <v>288</v>
      </c>
      <c r="E220" s="62">
        <v>2087.211595138142</v>
      </c>
      <c r="H220" s="131"/>
    </row>
    <row r="221" spans="2:8" ht="14.25">
      <c r="B221" s="63" t="s">
        <v>251</v>
      </c>
      <c r="D221" s="77" t="s">
        <v>289</v>
      </c>
      <c r="E221" s="62">
        <v>-215.7831536327027</v>
      </c>
      <c r="H221" s="131"/>
    </row>
    <row r="222" spans="2:8" ht="14.25">
      <c r="B222" s="63" t="s">
        <v>253</v>
      </c>
      <c r="D222" s="77" t="s">
        <v>290</v>
      </c>
      <c r="E222" s="62">
        <v>177.2812714167014</v>
      </c>
      <c r="H222" s="131"/>
    </row>
    <row r="223" spans="2:8" ht="14.25">
      <c r="B223" s="63" t="s">
        <v>255</v>
      </c>
      <c r="D223" s="77" t="s">
        <v>291</v>
      </c>
      <c r="E223" s="62">
        <v>-4.362233211199384</v>
      </c>
      <c r="H223" s="131"/>
    </row>
    <row r="224" spans="2:8" ht="14.25">
      <c r="B224" s="63" t="s">
        <v>265</v>
      </c>
      <c r="D224" s="77" t="s">
        <v>292</v>
      </c>
      <c r="E224" s="62">
        <v>35.823813615535435</v>
      </c>
      <c r="H224" s="131"/>
    </row>
    <row r="225" spans="2:11" ht="14.25">
      <c r="B225" s="121" t="s">
        <v>293</v>
      </c>
      <c r="D225" s="77" t="s">
        <v>294</v>
      </c>
      <c r="E225" s="131"/>
      <c r="G225" s="62">
        <v>-6.098740832557102</v>
      </c>
      <c r="H225" s="62">
        <v>-18.161915098413903</v>
      </c>
      <c r="I225" s="62">
        <v>-15.453416285918875</v>
      </c>
      <c r="J225" s="62">
        <v>-43.734260281788906</v>
      </c>
      <c r="K225" s="62">
        <v>-44.53970999147879</v>
      </c>
    </row>
    <row r="226" spans="2:8" ht="14.25">
      <c r="B226" s="63" t="s">
        <v>269</v>
      </c>
      <c r="D226" s="77" t="s">
        <v>295</v>
      </c>
      <c r="E226" s="62">
        <v>-0.6181726586461068</v>
      </c>
      <c r="H226" s="131"/>
    </row>
    <row r="227" spans="2:8" ht="14.25">
      <c r="B227" s="77" t="s">
        <v>271</v>
      </c>
      <c r="D227" s="77" t="s">
        <v>18</v>
      </c>
      <c r="E227" s="62">
        <v>24.470484711938386</v>
      </c>
      <c r="H227" s="131"/>
    </row>
    <row r="228" spans="2:8" ht="14.25">
      <c r="B228" s="77" t="s">
        <v>273</v>
      </c>
      <c r="D228" s="77" t="s">
        <v>19</v>
      </c>
      <c r="E228" s="62">
        <v>-1.9759915075393555</v>
      </c>
      <c r="H228" s="131"/>
    </row>
    <row r="229" spans="2:8" ht="14.25">
      <c r="B229" s="77" t="s">
        <v>275</v>
      </c>
      <c r="D229" s="77" t="s">
        <v>22</v>
      </c>
      <c r="E229" s="62">
        <v>-0.7593707999569663</v>
      </c>
      <c r="H229" s="131"/>
    </row>
    <row r="231" ht="14.25">
      <c r="B231" s="216" t="s">
        <v>169</v>
      </c>
    </row>
    <row r="232" spans="2:7" ht="14.25">
      <c r="B232" s="77" t="s">
        <v>107</v>
      </c>
      <c r="G232" s="70">
        <v>-7.916032039907155</v>
      </c>
    </row>
    <row r="233" spans="2:7" ht="14.25">
      <c r="B233" s="63" t="s">
        <v>26</v>
      </c>
      <c r="G233" s="70">
        <v>0</v>
      </c>
    </row>
    <row r="234" spans="2:7" ht="14.25">
      <c r="B234" s="63" t="s">
        <v>140</v>
      </c>
      <c r="G234" s="70">
        <v>96.62661152363835</v>
      </c>
    </row>
    <row r="235" spans="2:7" ht="14.25">
      <c r="B235" s="69"/>
      <c r="G235" s="70"/>
    </row>
    <row r="236" spans="2:7" ht="14.25">
      <c r="B236" s="63" t="s">
        <v>245</v>
      </c>
      <c r="G236" s="70">
        <v>5.9663456129528445</v>
      </c>
    </row>
    <row r="237" spans="2:7" ht="14.25">
      <c r="B237" s="63" t="s">
        <v>246</v>
      </c>
      <c r="G237" s="70">
        <v>5.9663456129528445</v>
      </c>
    </row>
    <row r="238" ht="14.25">
      <c r="G238" s="70"/>
    </row>
    <row r="239" ht="14.25">
      <c r="G239" s="70"/>
    </row>
    <row r="240" ht="14.25">
      <c r="B240" s="216" t="s">
        <v>173</v>
      </c>
    </row>
    <row r="241" spans="2:13" ht="14.25">
      <c r="B241" s="34"/>
      <c r="C241" s="77"/>
      <c r="D241" s="77"/>
      <c r="E241" s="263" t="s">
        <v>382</v>
      </c>
      <c r="F241" s="35" t="s">
        <v>685</v>
      </c>
      <c r="G241" s="35" t="s">
        <v>686</v>
      </c>
      <c r="H241" s="35" t="s">
        <v>687</v>
      </c>
      <c r="I241" s="35" t="s">
        <v>689</v>
      </c>
      <c r="J241" s="35" t="s">
        <v>690</v>
      </c>
      <c r="K241" s="35" t="s">
        <v>691</v>
      </c>
      <c r="L241" s="36" t="s">
        <v>692</v>
      </c>
      <c r="M241" s="34"/>
    </row>
    <row r="242" spans="2:13" ht="14.25">
      <c r="B242" s="498" t="s">
        <v>172</v>
      </c>
      <c r="C242" s="77"/>
      <c r="D242" s="77"/>
      <c r="E242" s="51"/>
      <c r="F242" s="37"/>
      <c r="G242" s="37"/>
      <c r="H242" s="38"/>
      <c r="I242" s="39"/>
      <c r="J242" s="38"/>
      <c r="K242" s="38"/>
      <c r="L242" s="38"/>
      <c r="M242" s="40"/>
    </row>
    <row r="243" spans="2:13" ht="14.25">
      <c r="B243" s="41" t="s">
        <v>377</v>
      </c>
      <c r="C243" s="77"/>
      <c r="D243" s="77"/>
      <c r="E243" s="42"/>
      <c r="F243" s="42"/>
      <c r="G243" s="52">
        <v>9.6</v>
      </c>
      <c r="H243" s="52">
        <v>6.93181513551189</v>
      </c>
      <c r="I243" s="52">
        <v>7.193818054793426</v>
      </c>
      <c r="J243" s="52">
        <v>7.355196118987626</v>
      </c>
      <c r="K243" s="52">
        <v>3.9103361822703673</v>
      </c>
      <c r="L243" s="52">
        <v>13.846114341804903</v>
      </c>
      <c r="M243" s="52">
        <v>39.23727983336821</v>
      </c>
    </row>
    <row r="244" spans="2:13" ht="14.25">
      <c r="B244" s="43" t="s">
        <v>170</v>
      </c>
      <c r="C244" s="77"/>
      <c r="D244" s="77"/>
      <c r="E244" s="42"/>
      <c r="F244" s="42"/>
      <c r="G244" s="52">
        <v>31.1856936640899</v>
      </c>
      <c r="H244" s="52">
        <v>27.158286540298178</v>
      </c>
      <c r="I244" s="52">
        <v>22.36279121256382</v>
      </c>
      <c r="J244" s="52">
        <v>27.983071246430452</v>
      </c>
      <c r="K244" s="52">
        <v>35.2363993953059</v>
      </c>
      <c r="L244" s="52">
        <v>30.27972064869463</v>
      </c>
      <c r="M244" s="52">
        <v>143.02026904329298</v>
      </c>
    </row>
    <row r="245" spans="2:13" ht="14.25">
      <c r="B245" s="45" t="s">
        <v>699</v>
      </c>
      <c r="C245" s="77"/>
      <c r="D245" s="77"/>
      <c r="E245" s="53">
        <v>0</v>
      </c>
      <c r="F245" s="53">
        <v>0</v>
      </c>
      <c r="G245" s="53">
        <v>40.7856936640899</v>
      </c>
      <c r="H245" s="53">
        <v>34.09010167581007</v>
      </c>
      <c r="I245" s="53">
        <v>29.55660926735725</v>
      </c>
      <c r="J245" s="53">
        <v>35.338267365418076</v>
      </c>
      <c r="K245" s="53">
        <v>39.14673557757627</v>
      </c>
      <c r="L245" s="53">
        <v>44.125834990499534</v>
      </c>
      <c r="M245" s="52">
        <v>182.2575488766612</v>
      </c>
    </row>
    <row r="246" spans="2:13" ht="14.25">
      <c r="B246" s="46"/>
      <c r="C246" s="77"/>
      <c r="D246" s="77"/>
      <c r="E246" s="47"/>
      <c r="F246" s="47"/>
      <c r="G246" s="52"/>
      <c r="H246" s="52"/>
      <c r="I246" s="52"/>
      <c r="J246" s="52"/>
      <c r="K246" s="52"/>
      <c r="L246" s="52"/>
      <c r="M246" s="52"/>
    </row>
    <row r="247" spans="2:13" ht="14.25">
      <c r="B247" s="50" t="s">
        <v>174</v>
      </c>
      <c r="C247" s="77"/>
      <c r="D247" s="77"/>
      <c r="E247" s="51"/>
      <c r="F247" s="48"/>
      <c r="G247" s="52"/>
      <c r="H247" s="52"/>
      <c r="I247" s="52"/>
      <c r="J247" s="52"/>
      <c r="K247" s="52"/>
      <c r="L247" s="52"/>
      <c r="M247" s="52"/>
    </row>
    <row r="248" spans="2:13" ht="14.25">
      <c r="B248" s="496" t="s">
        <v>171</v>
      </c>
      <c r="C248" s="77"/>
      <c r="D248" s="77"/>
      <c r="E248" s="52"/>
      <c r="F248" s="52"/>
      <c r="G248" s="52">
        <v>106.09370363566862</v>
      </c>
      <c r="H248" s="52">
        <v>90.12029457953601</v>
      </c>
      <c r="I248" s="52">
        <v>98.11307801510505</v>
      </c>
      <c r="J248" s="52">
        <v>98.52555259184092</v>
      </c>
      <c r="K248" s="52">
        <v>101.76850126851105</v>
      </c>
      <c r="L248" s="52">
        <v>102.44042244559166</v>
      </c>
      <c r="M248" s="52">
        <v>490.9678489005847</v>
      </c>
    </row>
    <row r="249" spans="2:13" ht="14.25">
      <c r="B249" s="497" t="s">
        <v>176</v>
      </c>
      <c r="C249" s="77"/>
      <c r="D249" s="77"/>
      <c r="E249" s="52"/>
      <c r="F249" s="52"/>
      <c r="G249" s="52">
        <v>-2.335672931175405</v>
      </c>
      <c r="H249" s="52">
        <v>0.15046236751306868</v>
      </c>
      <c r="I249" s="52">
        <v>0.1507173992405278</v>
      </c>
      <c r="J249" s="52">
        <v>0.149989133393034</v>
      </c>
      <c r="K249" s="52">
        <v>0.14926738062775544</v>
      </c>
      <c r="L249" s="52">
        <v>0.14855206845837313</v>
      </c>
      <c r="M249" s="52">
        <v>0.748988349232759</v>
      </c>
    </row>
    <row r="250" spans="2:13" ht="14.25">
      <c r="B250" s="497" t="s">
        <v>177</v>
      </c>
      <c r="C250" s="77"/>
      <c r="D250" s="77"/>
      <c r="E250" s="52"/>
      <c r="F250" s="52"/>
      <c r="G250" s="52">
        <v>0</v>
      </c>
      <c r="H250" s="52">
        <v>1.4598749999999998</v>
      </c>
      <c r="I250" s="52">
        <v>1.7</v>
      </c>
      <c r="J250" s="52">
        <v>1.8218333333333332</v>
      </c>
      <c r="K250" s="52">
        <v>1.918875</v>
      </c>
      <c r="L250" s="52">
        <v>2.061958333333333</v>
      </c>
      <c r="M250" s="52">
        <v>8.962541666666667</v>
      </c>
    </row>
    <row r="251" spans="2:13" ht="14.25">
      <c r="B251" s="49" t="s">
        <v>530</v>
      </c>
      <c r="C251" s="77"/>
      <c r="D251" s="77"/>
      <c r="E251" s="54">
        <v>0</v>
      </c>
      <c r="F251" s="54">
        <v>0</v>
      </c>
      <c r="G251" s="53">
        <v>103.75803070449321</v>
      </c>
      <c r="H251" s="53">
        <v>91.73063194704908</v>
      </c>
      <c r="I251" s="53">
        <v>99.96379541434558</v>
      </c>
      <c r="J251" s="53">
        <v>100.49737505856729</v>
      </c>
      <c r="K251" s="53">
        <v>103.83664364913881</v>
      </c>
      <c r="L251" s="53">
        <v>104.65093284738337</v>
      </c>
      <c r="M251" s="52">
        <v>500.67937891648415</v>
      </c>
    </row>
  </sheetData>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25"/>
  <dimension ref="A1:M251"/>
  <sheetViews>
    <sheetView zoomScale="70" zoomScaleNormal="70" workbookViewId="0" topLeftCell="A1">
      <pane xSplit="2" ySplit="1" topLeftCell="D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9.00390625" style="71" customWidth="1"/>
    <col min="2" max="2" width="48.00390625" style="63" customWidth="1"/>
    <col min="3" max="3" width="9.00390625" style="63" hidden="1" customWidth="1"/>
    <col min="4" max="4" width="18.125" style="63" customWidth="1"/>
    <col min="5" max="5" width="11.00390625" style="63" bestFit="1" customWidth="1"/>
    <col min="6" max="6" width="10.375" style="63" bestFit="1" customWidth="1"/>
    <col min="7" max="16384" width="9.00390625" style="63" customWidth="1"/>
  </cols>
  <sheetData>
    <row r="1" spans="3:12" ht="14.25">
      <c r="C1" s="540"/>
      <c r="D1" s="540"/>
      <c r="E1" s="541" t="s">
        <v>76</v>
      </c>
      <c r="F1" s="541" t="s">
        <v>77</v>
      </c>
      <c r="G1" s="541" t="s">
        <v>91</v>
      </c>
      <c r="H1" s="541" t="s">
        <v>92</v>
      </c>
      <c r="I1" s="541" t="s">
        <v>93</v>
      </c>
      <c r="J1" s="541" t="s">
        <v>94</v>
      </c>
      <c r="K1" s="541" t="s">
        <v>95</v>
      </c>
      <c r="L1" s="541" t="s">
        <v>131</v>
      </c>
    </row>
    <row r="2" spans="1:12" ht="14.25">
      <c r="A2" s="216"/>
      <c r="C2" s="77"/>
      <c r="D2" s="542"/>
      <c r="E2" s="542"/>
      <c r="F2" s="542"/>
      <c r="G2" s="542"/>
      <c r="H2" s="542"/>
      <c r="I2" s="542"/>
      <c r="J2" s="542"/>
      <c r="K2" s="542"/>
      <c r="L2" s="543"/>
    </row>
    <row r="3" spans="1:12" ht="14.25">
      <c r="A3" s="216"/>
      <c r="B3" s="544" t="s">
        <v>429</v>
      </c>
      <c r="C3" s="545"/>
      <c r="D3" s="546"/>
      <c r="E3" s="546"/>
      <c r="F3" s="546"/>
      <c r="G3" s="542"/>
      <c r="H3" s="542"/>
      <c r="I3" s="547"/>
      <c r="J3" s="547"/>
      <c r="K3" s="542"/>
      <c r="L3" s="543"/>
    </row>
    <row r="4" spans="1:12" ht="14.25">
      <c r="A4" s="216" t="s">
        <v>534</v>
      </c>
      <c r="B4" s="548" t="s">
        <v>601</v>
      </c>
      <c r="C4" s="549"/>
      <c r="D4" s="546"/>
      <c r="E4" s="546">
        <v>230.01665301662467</v>
      </c>
      <c r="F4" s="546">
        <v>228.14907369861663</v>
      </c>
      <c r="G4" s="542"/>
      <c r="H4" s="542"/>
      <c r="I4" s="542"/>
      <c r="J4" s="542"/>
      <c r="K4" s="542"/>
      <c r="L4" s="542"/>
    </row>
    <row r="5" spans="1:12" ht="14.25">
      <c r="A5" s="216"/>
      <c r="B5" s="548" t="s">
        <v>600</v>
      </c>
      <c r="C5" s="545"/>
      <c r="D5" s="546"/>
      <c r="E5" s="546">
        <v>228.97693857356896</v>
      </c>
      <c r="F5" s="546">
        <v>224.91912375663748</v>
      </c>
      <c r="G5" s="542"/>
      <c r="H5" s="542"/>
      <c r="I5" s="542"/>
      <c r="J5" s="542"/>
      <c r="K5" s="542"/>
      <c r="L5" s="543"/>
    </row>
    <row r="6" spans="1:12" ht="14.25">
      <c r="A6" s="216"/>
      <c r="B6" s="544" t="s">
        <v>476</v>
      </c>
      <c r="C6" s="545"/>
      <c r="D6" s="546"/>
      <c r="E6" s="546">
        <v>-2.6886171452064693</v>
      </c>
      <c r="F6" s="546">
        <v>-2.640970816467698</v>
      </c>
      <c r="G6" s="542"/>
      <c r="H6" s="547"/>
      <c r="I6" s="547"/>
      <c r="J6" s="547"/>
      <c r="K6" s="542"/>
      <c r="L6" s="543"/>
    </row>
    <row r="7" spans="1:12" ht="14.25">
      <c r="A7" s="216"/>
      <c r="B7" s="544" t="s">
        <v>477</v>
      </c>
      <c r="C7" s="545"/>
      <c r="D7" s="546"/>
      <c r="E7" s="546">
        <v>0.747307578223399</v>
      </c>
      <c r="F7" s="546">
        <v>0.7340641669758888</v>
      </c>
      <c r="G7" s="542"/>
      <c r="H7" s="547"/>
      <c r="I7" s="547"/>
      <c r="J7" s="542"/>
      <c r="K7" s="542"/>
      <c r="L7" s="543"/>
    </row>
    <row r="8" spans="1:12" ht="14.25">
      <c r="A8" s="216"/>
      <c r="B8" s="548" t="s">
        <v>478</v>
      </c>
      <c r="C8" s="545"/>
      <c r="D8" s="546"/>
      <c r="E8" s="546">
        <v>227.03562900658588</v>
      </c>
      <c r="F8" s="546">
        <v>223.01221710714566</v>
      </c>
      <c r="G8" s="542"/>
      <c r="H8" s="542"/>
      <c r="I8" s="542"/>
      <c r="J8" s="542"/>
      <c r="K8" s="542"/>
      <c r="L8" s="543"/>
    </row>
    <row r="9" spans="1:12" ht="14.25">
      <c r="A9" s="121"/>
      <c r="B9" s="548" t="s">
        <v>66</v>
      </c>
      <c r="C9" s="549"/>
      <c r="D9" s="546"/>
      <c r="E9" s="546">
        <v>-69.5848539965964</v>
      </c>
      <c r="F9" s="546">
        <v>-67.17436505984239</v>
      </c>
      <c r="G9" s="542"/>
      <c r="H9" s="542"/>
      <c r="I9" s="542"/>
      <c r="J9" s="542"/>
      <c r="K9" s="542"/>
      <c r="L9" s="542"/>
    </row>
    <row r="10" spans="1:12" ht="14.25">
      <c r="A10" s="121"/>
      <c r="B10" s="548" t="s">
        <v>479</v>
      </c>
      <c r="C10" s="549"/>
      <c r="D10" s="546"/>
      <c r="E10" s="546">
        <v>-66.89623685138993</v>
      </c>
      <c r="F10" s="546">
        <v>-64.53339424337469</v>
      </c>
      <c r="H10" s="542"/>
      <c r="I10" s="542"/>
      <c r="J10" s="542"/>
      <c r="K10" s="542"/>
      <c r="L10" s="542"/>
    </row>
    <row r="11" spans="1:12" ht="14.25">
      <c r="A11" s="121"/>
      <c r="B11" s="548" t="s">
        <v>67</v>
      </c>
      <c r="C11" s="549"/>
      <c r="D11" s="546"/>
      <c r="E11" s="546">
        <v>-22.1931470005795</v>
      </c>
      <c r="F11" s="546">
        <v>-23.46673915350286</v>
      </c>
      <c r="G11" s="542"/>
      <c r="H11" s="542"/>
      <c r="I11" s="542"/>
      <c r="J11" s="542"/>
      <c r="K11" s="542"/>
      <c r="L11" s="542"/>
    </row>
    <row r="12" spans="1:12" ht="14.25">
      <c r="A12" s="121"/>
      <c r="B12" s="548" t="s">
        <v>487</v>
      </c>
      <c r="C12" s="549"/>
      <c r="D12" s="546"/>
      <c r="E12" s="546">
        <v>-25.4300517573512</v>
      </c>
      <c r="F12" s="546">
        <v>-25.27816832719203</v>
      </c>
      <c r="G12" s="542"/>
      <c r="H12" s="542"/>
      <c r="I12" s="542"/>
      <c r="J12" s="542"/>
      <c r="K12" s="542"/>
      <c r="L12" s="542"/>
    </row>
    <row r="13" spans="1:12" ht="14.25">
      <c r="A13" s="550" t="s">
        <v>121</v>
      </c>
      <c r="B13" s="551"/>
      <c r="C13" s="549"/>
      <c r="D13" s="546"/>
      <c r="E13" s="546"/>
      <c r="F13" s="546"/>
      <c r="G13" s="542"/>
      <c r="H13" s="542"/>
      <c r="I13" s="542"/>
      <c r="J13" s="542"/>
      <c r="K13" s="542"/>
      <c r="L13" s="543"/>
    </row>
    <row r="14" spans="1:12" ht="14.25">
      <c r="A14" s="552"/>
      <c r="B14" s="545" t="s">
        <v>494</v>
      </c>
      <c r="C14" s="549"/>
      <c r="D14" s="546"/>
      <c r="E14" s="546">
        <v>6.592639620844194</v>
      </c>
      <c r="F14" s="546">
        <v>6.862103749857971</v>
      </c>
      <c r="G14" s="542"/>
      <c r="H14" s="542"/>
      <c r="I14" s="542"/>
      <c r="J14" s="542"/>
      <c r="K14" s="542"/>
      <c r="L14" s="543"/>
    </row>
    <row r="15" spans="1:12" ht="14.25">
      <c r="A15" s="552"/>
      <c r="B15" s="545" t="s">
        <v>493</v>
      </c>
      <c r="C15" s="549"/>
      <c r="D15" s="546"/>
      <c r="E15" s="546">
        <v>25.4300517573512</v>
      </c>
      <c r="F15" s="546">
        <v>25.278168327192034</v>
      </c>
      <c r="G15" s="542"/>
      <c r="H15" s="542"/>
      <c r="I15" s="542"/>
      <c r="J15" s="542"/>
      <c r="K15" s="542"/>
      <c r="L15" s="543"/>
    </row>
    <row r="16" spans="1:12" ht="14.25">
      <c r="A16" s="552"/>
      <c r="B16" s="545" t="s">
        <v>142</v>
      </c>
      <c r="C16" s="549"/>
      <c r="D16" s="546"/>
      <c r="E16" s="546">
        <v>50.8601035147024</v>
      </c>
      <c r="F16" s="546">
        <v>50.55633665438407</v>
      </c>
      <c r="G16" s="542"/>
      <c r="H16" s="542"/>
      <c r="I16" s="542"/>
      <c r="J16" s="542"/>
      <c r="K16" s="542"/>
      <c r="L16" s="543"/>
    </row>
    <row r="17" spans="1:12" ht="14.25">
      <c r="A17" s="121"/>
      <c r="B17" s="121"/>
      <c r="C17" s="553"/>
      <c r="D17" s="542"/>
      <c r="E17" s="542"/>
      <c r="F17" s="542"/>
      <c r="G17" s="542"/>
      <c r="H17" s="542"/>
      <c r="I17" s="542"/>
      <c r="J17" s="542"/>
      <c r="K17" s="542"/>
      <c r="L17" s="542"/>
    </row>
    <row r="18" spans="1:12" ht="14.25">
      <c r="A18" s="121"/>
      <c r="B18" s="554" t="s">
        <v>785</v>
      </c>
      <c r="C18" s="555"/>
      <c r="D18" s="556"/>
      <c r="E18" s="556">
        <v>229.146</v>
      </c>
      <c r="F18" s="556">
        <v>236.58284600389865</v>
      </c>
      <c r="G18" s="556">
        <v>268.09732260614953</v>
      </c>
      <c r="H18" s="542"/>
      <c r="I18" s="542"/>
      <c r="J18" s="542"/>
      <c r="K18" s="542"/>
      <c r="L18" s="542"/>
    </row>
    <row r="19" spans="1:7" ht="14.25">
      <c r="A19" s="121"/>
      <c r="B19" s="554" t="s">
        <v>153</v>
      </c>
      <c r="C19" s="555"/>
      <c r="D19" s="556"/>
      <c r="E19" s="556">
        <v>-76.88508052441951</v>
      </c>
      <c r="F19" s="556">
        <v>-87.7246510267004</v>
      </c>
      <c r="G19" s="556">
        <v>-95.92439377248363</v>
      </c>
    </row>
    <row r="20" spans="1:7" ht="14.25">
      <c r="A20" s="121"/>
      <c r="B20" s="554" t="s">
        <v>67</v>
      </c>
      <c r="C20" s="555"/>
      <c r="D20" s="556"/>
      <c r="E20" s="556">
        <v>-26.902197802197804</v>
      </c>
      <c r="F20" s="556">
        <v>-31.45363408521303</v>
      </c>
      <c r="G20" s="556">
        <v>-33.06591231080818</v>
      </c>
    </row>
    <row r="21" spans="1:12" ht="14.25">
      <c r="A21" s="121"/>
      <c r="B21" s="554"/>
      <c r="C21" s="555"/>
      <c r="D21" s="556"/>
      <c r="E21" s="556"/>
      <c r="F21" s="556"/>
      <c r="G21" s="556"/>
      <c r="H21" s="542"/>
      <c r="I21" s="542"/>
      <c r="J21" s="542"/>
      <c r="K21" s="542"/>
      <c r="L21" s="542"/>
    </row>
    <row r="22" spans="1:12" ht="14.25">
      <c r="A22" s="121"/>
      <c r="B22" s="554" t="s">
        <v>8</v>
      </c>
      <c r="C22" s="555"/>
      <c r="D22" s="556"/>
      <c r="E22" s="556">
        <v>-19.842708075971515</v>
      </c>
      <c r="F22" s="556">
        <v>-19.526759368836508</v>
      </c>
      <c r="G22" s="556">
        <v>-19.454655252220213</v>
      </c>
      <c r="H22" s="542"/>
      <c r="I22" s="542"/>
      <c r="J22" s="542"/>
      <c r="K22" s="542"/>
      <c r="L22" s="542"/>
    </row>
    <row r="23" spans="1:7" ht="14.25">
      <c r="A23" s="121"/>
      <c r="B23" s="554" t="s">
        <v>57</v>
      </c>
      <c r="C23" s="555"/>
      <c r="D23" s="556"/>
      <c r="E23" s="556">
        <v>-20.99603711203026</v>
      </c>
      <c r="F23" s="556">
        <v>-21.31396868238973</v>
      </c>
      <c r="G23" s="556">
        <v>-21.400195812835598</v>
      </c>
    </row>
    <row r="24" spans="1:7" ht="14.25">
      <c r="A24" s="121"/>
      <c r="B24" s="554" t="s">
        <v>727</v>
      </c>
      <c r="C24" s="555"/>
      <c r="D24" s="556"/>
      <c r="E24" s="556">
        <v>16.268928705031904</v>
      </c>
      <c r="F24" s="556">
        <v>25.328006085046525</v>
      </c>
      <c r="G24" s="556">
        <v>47.9719788407202</v>
      </c>
    </row>
    <row r="25" spans="1:12" ht="14.25">
      <c r="A25" s="121"/>
      <c r="B25" s="77" t="s">
        <v>350</v>
      </c>
      <c r="C25" s="553"/>
      <c r="D25" s="542"/>
      <c r="E25" s="542"/>
      <c r="F25" s="542"/>
      <c r="G25" s="557">
        <v>245.1</v>
      </c>
      <c r="H25" s="542"/>
      <c r="I25" s="542"/>
      <c r="J25" s="542"/>
      <c r="K25" s="542"/>
      <c r="L25" s="542"/>
    </row>
    <row r="26" spans="1:12" ht="14.25">
      <c r="A26" s="121"/>
      <c r="B26" s="77"/>
      <c r="C26" s="553"/>
      <c r="D26" s="542"/>
      <c r="E26" s="542"/>
      <c r="F26" s="542"/>
      <c r="G26" s="557"/>
      <c r="H26" s="542"/>
      <c r="I26" s="542"/>
      <c r="J26" s="542"/>
      <c r="K26" s="542"/>
      <c r="L26" s="542"/>
    </row>
    <row r="27" spans="1:12" ht="14.25">
      <c r="A27" s="121"/>
      <c r="B27" s="554" t="s">
        <v>586</v>
      </c>
      <c r="C27" s="555"/>
      <c r="D27" s="556"/>
      <c r="E27" s="556">
        <v>39.438002588633964</v>
      </c>
      <c r="F27" s="556">
        <v>40.18142040110257</v>
      </c>
      <c r="G27" s="556">
        <v>0</v>
      </c>
      <c r="H27" s="542"/>
      <c r="I27" s="542"/>
      <c r="J27" s="542"/>
      <c r="K27" s="542"/>
      <c r="L27" s="542"/>
    </row>
    <row r="28" spans="1:7" ht="14.25">
      <c r="A28" s="121"/>
      <c r="B28" s="554" t="s">
        <v>584</v>
      </c>
      <c r="C28" s="555"/>
      <c r="D28" s="556"/>
      <c r="E28" s="556">
        <v>27.188825773967938</v>
      </c>
      <c r="F28" s="556">
        <v>26.84885254336238</v>
      </c>
      <c r="G28" s="556">
        <v>25.81699394365051</v>
      </c>
    </row>
    <row r="29" spans="1:12" ht="14.25">
      <c r="A29" s="121"/>
      <c r="B29" s="554" t="s">
        <v>587</v>
      </c>
      <c r="C29" s="555"/>
      <c r="D29" s="556"/>
      <c r="E29" s="556">
        <v>11.381583883917914</v>
      </c>
      <c r="F29" s="556">
        <v>10.34770385370621</v>
      </c>
      <c r="G29" s="556">
        <v>0</v>
      </c>
      <c r="H29" s="542"/>
      <c r="I29" s="542"/>
      <c r="J29" s="542"/>
      <c r="K29" s="542"/>
      <c r="L29" s="542"/>
    </row>
    <row r="30" spans="1:7" ht="14.25">
      <c r="A30" s="121"/>
      <c r="B30" s="554" t="s">
        <v>585</v>
      </c>
      <c r="C30" s="555"/>
      <c r="D30" s="556"/>
      <c r="E30" s="556">
        <v>21.881515659470846</v>
      </c>
      <c r="F30" s="556">
        <v>17.564058883066863</v>
      </c>
      <c r="G30" s="556">
        <v>20.835364393336356</v>
      </c>
    </row>
    <row r="31" spans="1:12" ht="14.25">
      <c r="A31" s="121"/>
      <c r="B31" s="77" t="s">
        <v>482</v>
      </c>
      <c r="C31" s="553"/>
      <c r="D31" s="542"/>
      <c r="E31" s="542">
        <v>49.070341433438784</v>
      </c>
      <c r="F31" s="542">
        <v>44.41291142642925</v>
      </c>
      <c r="G31" s="542">
        <v>46.652358336986865</v>
      </c>
      <c r="H31" s="542"/>
      <c r="I31" s="542"/>
      <c r="J31" s="542"/>
      <c r="K31" s="542"/>
      <c r="L31" s="542"/>
    </row>
    <row r="32" spans="1:12" ht="14.25">
      <c r="A32" s="121"/>
      <c r="B32" s="559" t="s">
        <v>310</v>
      </c>
      <c r="C32" s="560"/>
      <c r="D32" s="561"/>
      <c r="E32" s="561">
        <v>27.188825773967938</v>
      </c>
      <c r="F32" s="561">
        <v>26.848852543362383</v>
      </c>
      <c r="G32" s="542"/>
      <c r="H32" s="542"/>
      <c r="I32" s="542"/>
      <c r="J32" s="542"/>
      <c r="K32" s="542"/>
      <c r="L32" s="542"/>
    </row>
    <row r="33" spans="1:12" ht="14.25">
      <c r="A33" s="121"/>
      <c r="B33" s="559" t="s">
        <v>311</v>
      </c>
      <c r="C33" s="560"/>
      <c r="D33" s="561"/>
      <c r="E33" s="561">
        <v>21.881515659470846</v>
      </c>
      <c r="F33" s="561">
        <v>17.564058883066863</v>
      </c>
      <c r="G33" s="542"/>
      <c r="H33" s="542"/>
      <c r="I33" s="542"/>
      <c r="J33" s="542"/>
      <c r="K33" s="542"/>
      <c r="L33" s="542"/>
    </row>
    <row r="34" spans="1:12" ht="14.25">
      <c r="A34" s="121"/>
      <c r="B34" s="77"/>
      <c r="C34" s="553"/>
      <c r="D34" s="542"/>
      <c r="E34" s="542"/>
      <c r="F34" s="542"/>
      <c r="G34" s="558"/>
      <c r="H34" s="542"/>
      <c r="I34" s="542"/>
      <c r="J34" s="542"/>
      <c r="K34" s="542"/>
      <c r="L34" s="542"/>
    </row>
    <row r="35" spans="1:12" ht="14.25">
      <c r="A35" s="121"/>
      <c r="B35" s="77"/>
      <c r="C35" s="553"/>
      <c r="D35" s="542"/>
      <c r="E35" s="542"/>
      <c r="F35" s="542"/>
      <c r="G35" s="558"/>
      <c r="H35" s="542"/>
      <c r="I35" s="542"/>
      <c r="J35" s="542"/>
      <c r="K35" s="542"/>
      <c r="L35" s="542"/>
    </row>
    <row r="36" spans="1:13" ht="14.25">
      <c r="A36" s="121"/>
      <c r="B36" s="216" t="s">
        <v>154</v>
      </c>
      <c r="C36" s="553"/>
      <c r="D36" s="542"/>
      <c r="E36" s="542"/>
      <c r="F36" s="542"/>
      <c r="G36" s="558"/>
      <c r="H36" s="542"/>
      <c r="I36" s="542"/>
      <c r="J36" s="542"/>
      <c r="K36" s="542"/>
      <c r="L36" s="542"/>
      <c r="M36" s="71"/>
    </row>
    <row r="37" spans="1:13" ht="14.25">
      <c r="A37" s="121"/>
      <c r="B37" s="71" t="s">
        <v>153</v>
      </c>
      <c r="C37" s="553"/>
      <c r="D37" s="542"/>
      <c r="E37" s="542"/>
      <c r="F37" s="542"/>
      <c r="G37" s="558"/>
      <c r="H37" s="557">
        <v>-83.54467014446665</v>
      </c>
      <c r="I37" s="557">
        <v>-80.32046283309475</v>
      </c>
      <c r="J37" s="557">
        <v>-79.24637485597297</v>
      </c>
      <c r="K37" s="557">
        <v>-77.72654132867082</v>
      </c>
      <c r="L37" s="557">
        <v>-76.69556451095566</v>
      </c>
      <c r="M37" s="71"/>
    </row>
    <row r="38" spans="1:13" ht="14.25">
      <c r="A38" s="121"/>
      <c r="B38" s="71" t="s">
        <v>727</v>
      </c>
      <c r="C38" s="553"/>
      <c r="D38" s="542"/>
      <c r="E38" s="542"/>
      <c r="F38" s="542"/>
      <c r="G38" s="558"/>
      <c r="H38" s="557">
        <v>59.19187579546806</v>
      </c>
      <c r="I38" s="557">
        <v>52.598159963052424</v>
      </c>
      <c r="J38" s="557">
        <v>25.693200275313217</v>
      </c>
      <c r="K38" s="557">
        <v>30.877724471832757</v>
      </c>
      <c r="L38" s="557">
        <v>38.60488060610285</v>
      </c>
      <c r="M38" s="71"/>
    </row>
    <row r="39" spans="1:13" ht="14.25">
      <c r="A39" s="121"/>
      <c r="B39" s="71" t="s">
        <v>155</v>
      </c>
      <c r="C39" s="553"/>
      <c r="D39" s="542"/>
      <c r="E39" s="542"/>
      <c r="F39" s="542"/>
      <c r="G39" s="558"/>
      <c r="H39" s="557">
        <v>71.9860979534401</v>
      </c>
      <c r="I39" s="557">
        <v>62.80377961534789</v>
      </c>
      <c r="J39" s="557">
        <v>64.53333534411804</v>
      </c>
      <c r="K39" s="557">
        <v>64.02525632932038</v>
      </c>
      <c r="L39" s="557">
        <v>60.124080764423034</v>
      </c>
      <c r="M39" s="71"/>
    </row>
    <row r="40" spans="1:13" ht="14.25">
      <c r="A40" s="121"/>
      <c r="B40" s="71" t="s">
        <v>156</v>
      </c>
      <c r="C40" s="553"/>
      <c r="D40" s="542"/>
      <c r="E40" s="542"/>
      <c r="F40" s="542"/>
      <c r="G40" s="558"/>
      <c r="H40" s="557">
        <v>26.365551442515297</v>
      </c>
      <c r="I40" s="557">
        <v>24.355757882384797</v>
      </c>
      <c r="J40" s="557">
        <v>25.685947944995775</v>
      </c>
      <c r="K40" s="557">
        <v>27.895717873159597</v>
      </c>
      <c r="L40" s="557">
        <v>27.319459604795902</v>
      </c>
      <c r="M40" s="71"/>
    </row>
    <row r="41" spans="1:13" ht="14.25">
      <c r="A41" s="121"/>
      <c r="B41" s="71" t="s">
        <v>820</v>
      </c>
      <c r="C41" s="553"/>
      <c r="D41" s="542"/>
      <c r="E41" s="542"/>
      <c r="F41" s="542"/>
      <c r="G41" s="558"/>
      <c r="H41" s="557">
        <v>110.78111506372007</v>
      </c>
      <c r="I41" s="557">
        <v>97.43156468494445</v>
      </c>
      <c r="J41" s="557">
        <v>102.32543095995737</v>
      </c>
      <c r="K41" s="557">
        <v>107.83118128084097</v>
      </c>
      <c r="L41" s="557">
        <v>98.44405032871033</v>
      </c>
      <c r="M41" s="71"/>
    </row>
    <row r="42" spans="1:13" ht="14.25">
      <c r="A42" s="121"/>
      <c r="B42" s="63" t="s">
        <v>158</v>
      </c>
      <c r="C42" s="553"/>
      <c r="D42" s="542"/>
      <c r="E42" s="542"/>
      <c r="F42" s="542"/>
      <c r="G42" s="558"/>
      <c r="H42" s="557">
        <v>98.71538288275728</v>
      </c>
      <c r="I42" s="557">
        <v>88.20014808283236</v>
      </c>
      <c r="J42" s="557">
        <v>94.42556019700869</v>
      </c>
      <c r="K42" s="557">
        <v>99.01007867281513</v>
      </c>
      <c r="L42" s="557">
        <v>96.64940530527053</v>
      </c>
      <c r="M42" s="71"/>
    </row>
    <row r="43" spans="1:13" ht="14.25">
      <c r="A43" s="121"/>
      <c r="B43" s="63" t="s">
        <v>159</v>
      </c>
      <c r="C43" s="553"/>
      <c r="D43" s="542"/>
      <c r="E43" s="542"/>
      <c r="F43" s="542"/>
      <c r="G43" s="558"/>
      <c r="H43" s="557">
        <v>19.081016708791736</v>
      </c>
      <c r="I43" s="557">
        <v>17.237684978188938</v>
      </c>
      <c r="J43" s="557">
        <v>20.228079793211847</v>
      </c>
      <c r="K43" s="557">
        <v>25.81707860845612</v>
      </c>
      <c r="L43" s="557">
        <v>21.187966716</v>
      </c>
      <c r="M43" s="71"/>
    </row>
    <row r="44" spans="1:13" ht="14.25">
      <c r="A44" s="121"/>
      <c r="B44" s="63" t="s">
        <v>67</v>
      </c>
      <c r="C44" s="553"/>
      <c r="D44" s="542"/>
      <c r="E44" s="542"/>
      <c r="F44" s="542"/>
      <c r="G44" s="558"/>
      <c r="H44" s="557">
        <v>-33.06591231080818</v>
      </c>
      <c r="I44" s="557">
        <v>-33.06591231080818</v>
      </c>
      <c r="J44" s="557">
        <v>-33.06591231080818</v>
      </c>
      <c r="K44" s="557">
        <v>-33.06591231080818</v>
      </c>
      <c r="L44" s="557">
        <v>-33.06591231080818</v>
      </c>
      <c r="M44" s="71"/>
    </row>
    <row r="45" spans="1:13" ht="14.25">
      <c r="A45" s="121"/>
      <c r="B45" s="63" t="s">
        <v>57</v>
      </c>
      <c r="C45" s="553"/>
      <c r="D45" s="542"/>
      <c r="E45" s="542"/>
      <c r="F45" s="542"/>
      <c r="G45" s="558"/>
      <c r="H45" s="557">
        <v>-20.614906922418424</v>
      </c>
      <c r="I45" s="557">
        <v>-22.286385862073974</v>
      </c>
      <c r="J45" s="557">
        <v>-23.33375319289125</v>
      </c>
      <c r="K45" s="557">
        <v>-23.885623187105978</v>
      </c>
      <c r="L45" s="557">
        <v>-25.99509576407765</v>
      </c>
      <c r="M45" s="71"/>
    </row>
    <row r="46" spans="1:13" ht="14.25">
      <c r="A46" s="121"/>
      <c r="B46" s="71" t="s">
        <v>157</v>
      </c>
      <c r="C46" s="553"/>
      <c r="D46" s="542"/>
      <c r="E46" s="542"/>
      <c r="F46" s="542"/>
      <c r="G46" s="558"/>
      <c r="H46" s="557">
        <v>8.297754336707621</v>
      </c>
      <c r="I46" s="557">
        <v>8.297754336707621</v>
      </c>
      <c r="J46" s="557">
        <v>8.297754336707621</v>
      </c>
      <c r="K46" s="557">
        <v>8.297754336707621</v>
      </c>
      <c r="L46" s="557">
        <v>8.297754336707621</v>
      </c>
      <c r="M46" s="71"/>
    </row>
    <row r="47" spans="1:13" ht="14.25">
      <c r="A47" s="121"/>
      <c r="B47" s="71" t="s">
        <v>819</v>
      </c>
      <c r="C47" s="553"/>
      <c r="D47" s="542"/>
      <c r="E47" s="143"/>
      <c r="F47" s="143"/>
      <c r="G47" s="143"/>
      <c r="H47" s="510">
        <v>-20.565916040276548</v>
      </c>
      <c r="I47" s="510">
        <v>-19.924138623867456</v>
      </c>
      <c r="J47" s="510">
        <v>-20.40092417953734</v>
      </c>
      <c r="K47" s="510">
        <v>-22.62684427261844</v>
      </c>
      <c r="L47" s="510">
        <v>-23.250228249448604</v>
      </c>
      <c r="M47" s="71"/>
    </row>
    <row r="48" spans="1:13" ht="14.25">
      <c r="A48" s="121"/>
      <c r="B48" s="216"/>
      <c r="C48" s="553"/>
      <c r="D48" s="542"/>
      <c r="E48" s="542"/>
      <c r="F48" s="542"/>
      <c r="G48" s="558"/>
      <c r="H48" s="542"/>
      <c r="I48" s="542"/>
      <c r="J48" s="542"/>
      <c r="K48" s="542"/>
      <c r="L48" s="542"/>
      <c r="M48" s="71"/>
    </row>
    <row r="49" spans="1:12" ht="14.25">
      <c r="A49" s="121"/>
      <c r="B49" s="122" t="s">
        <v>419</v>
      </c>
      <c r="C49" s="553"/>
      <c r="D49" s="542"/>
      <c r="E49" s="542"/>
      <c r="F49" s="542"/>
      <c r="G49" s="542"/>
      <c r="H49" s="542"/>
      <c r="I49" s="542"/>
      <c r="J49" s="542"/>
      <c r="K49" s="542"/>
      <c r="L49" s="542"/>
    </row>
    <row r="50" spans="1:12" ht="14.25">
      <c r="A50" s="121"/>
      <c r="B50" s="77" t="s">
        <v>160</v>
      </c>
      <c r="C50" s="553"/>
      <c r="D50" s="542"/>
      <c r="E50" s="543">
        <v>14.349932943740745</v>
      </c>
      <c r="F50" s="543">
        <v>20.11759018150166</v>
      </c>
      <c r="G50" s="543">
        <v>16.125898545606677</v>
      </c>
      <c r="H50" s="543">
        <v>15.210342546123055</v>
      </c>
      <c r="I50" s="543">
        <v>10.224247590341568</v>
      </c>
      <c r="J50" s="543">
        <v>8.56328665493679</v>
      </c>
      <c r="K50" s="543">
        <v>7.912305433541202</v>
      </c>
      <c r="L50" s="543">
        <v>7.947595686126343</v>
      </c>
    </row>
    <row r="51" spans="1:12" ht="14.25">
      <c r="A51" s="121"/>
      <c r="B51" s="77"/>
      <c r="C51" s="553"/>
      <c r="D51" s="542"/>
      <c r="E51" s="542"/>
      <c r="F51" s="542"/>
      <c r="G51" s="542"/>
      <c r="H51" s="542"/>
      <c r="I51" s="542"/>
      <c r="J51" s="542"/>
      <c r="K51" s="542"/>
      <c r="L51" s="542"/>
    </row>
    <row r="52" spans="1:12" ht="14.25">
      <c r="A52" s="121"/>
      <c r="B52" s="77"/>
      <c r="C52" s="553"/>
      <c r="D52" s="542"/>
      <c r="E52" s="542"/>
      <c r="F52" s="542"/>
      <c r="G52" s="542"/>
      <c r="H52" s="542"/>
      <c r="I52" s="542"/>
      <c r="J52" s="542"/>
      <c r="K52" s="542"/>
      <c r="L52" s="542"/>
    </row>
    <row r="53" spans="1:12" ht="14.25">
      <c r="A53" s="121"/>
      <c r="B53" s="110" t="s">
        <v>161</v>
      </c>
      <c r="C53" s="553"/>
      <c r="D53" s="542"/>
      <c r="E53" s="542"/>
      <c r="F53" s="542"/>
      <c r="G53" s="542"/>
      <c r="H53" s="542"/>
      <c r="I53" s="542"/>
      <c r="J53" s="542"/>
      <c r="K53" s="542"/>
      <c r="L53" s="542"/>
    </row>
    <row r="54" spans="1:12" ht="14.25">
      <c r="A54" s="121"/>
      <c r="B54" s="545" t="s">
        <v>535</v>
      </c>
      <c r="C54" s="549"/>
      <c r="D54" s="546"/>
      <c r="E54" s="546">
        <v>1.7116578292178466</v>
      </c>
      <c r="F54" s="546">
        <v>1.6183725710881949</v>
      </c>
      <c r="G54" s="581">
        <v>8.297754336707621</v>
      </c>
      <c r="H54" s="542"/>
      <c r="I54" s="542"/>
      <c r="J54" s="542"/>
      <c r="K54" s="542"/>
      <c r="L54" s="542"/>
    </row>
    <row r="55" spans="1:12" ht="14.25">
      <c r="A55" s="121"/>
      <c r="B55" s="554" t="s">
        <v>536</v>
      </c>
      <c r="C55" s="555"/>
      <c r="D55" s="556"/>
      <c r="E55" s="556">
        <v>8.1</v>
      </c>
      <c r="F55" s="556">
        <v>8.1</v>
      </c>
      <c r="G55" s="556">
        <v>7.6</v>
      </c>
      <c r="H55" s="542"/>
      <c r="I55" s="542"/>
      <c r="J55" s="542"/>
      <c r="K55" s="542"/>
      <c r="L55" s="542"/>
    </row>
    <row r="56" spans="1:7" ht="14.25">
      <c r="A56" s="121"/>
      <c r="B56" s="564" t="s">
        <v>768</v>
      </c>
      <c r="C56" s="565"/>
      <c r="D56" s="566"/>
      <c r="E56" s="566">
        <v>8.131</v>
      </c>
      <c r="F56" s="566">
        <v>8.297754336707621</v>
      </c>
      <c r="G56" s="566">
        <v>8.297754336707621</v>
      </c>
    </row>
    <row r="57" spans="2:7" ht="14.25">
      <c r="B57" s="545" t="s">
        <v>537</v>
      </c>
      <c r="C57" s="549"/>
      <c r="D57" s="546"/>
      <c r="E57" s="546">
        <v>2.3385592658816297</v>
      </c>
      <c r="F57" s="546">
        <v>2.2790208348622225</v>
      </c>
      <c r="G57" s="581">
        <v>8.315998419787155</v>
      </c>
    </row>
    <row r="58" spans="2:12" s="71" customFormat="1" ht="14.25">
      <c r="B58" s="121"/>
      <c r="C58" s="562"/>
      <c r="D58" s="558"/>
      <c r="E58" s="558"/>
      <c r="F58" s="558"/>
      <c r="G58" s="172"/>
      <c r="H58" s="558"/>
      <c r="I58" s="558"/>
      <c r="J58" s="558"/>
      <c r="K58" s="558"/>
      <c r="L58" s="558"/>
    </row>
    <row r="59" spans="2:12" ht="14.25">
      <c r="B59" s="554" t="s">
        <v>659</v>
      </c>
      <c r="C59" s="555"/>
      <c r="D59" s="556"/>
      <c r="E59" s="556">
        <v>5.418973198436143</v>
      </c>
      <c r="F59" s="556">
        <v>6.459796162440223</v>
      </c>
      <c r="G59" s="556">
        <v>7.419663343848651</v>
      </c>
      <c r="H59" s="542"/>
      <c r="I59" s="542"/>
      <c r="J59" s="542"/>
      <c r="K59" s="542"/>
      <c r="L59" s="542"/>
    </row>
    <row r="60" spans="2:12" ht="14.25">
      <c r="B60" s="564" t="s">
        <v>300</v>
      </c>
      <c r="C60" s="565"/>
      <c r="D60" s="566"/>
      <c r="E60" s="567">
        <v>0.233</v>
      </c>
      <c r="F60" s="567">
        <v>0.32</v>
      </c>
      <c r="G60" s="567">
        <v>0.32</v>
      </c>
      <c r="H60" s="69"/>
      <c r="I60" s="542"/>
      <c r="J60" s="542"/>
      <c r="K60" s="542"/>
      <c r="L60" s="542"/>
    </row>
    <row r="61" spans="1:12" ht="14.25">
      <c r="A61" s="121"/>
      <c r="B61" s="77" t="s">
        <v>570</v>
      </c>
      <c r="C61" s="553"/>
      <c r="D61" s="542"/>
      <c r="E61" s="566">
        <v>4.621624409110442</v>
      </c>
      <c r="F61" s="63">
        <v>0</v>
      </c>
      <c r="G61" s="542">
        <v>0.622062976362155</v>
      </c>
      <c r="H61" s="542"/>
      <c r="I61" s="542"/>
      <c r="J61" s="542"/>
      <c r="K61" s="542"/>
      <c r="L61" s="542"/>
    </row>
    <row r="62" spans="1:12" ht="14.25">
      <c r="A62" s="121"/>
      <c r="B62" s="63" t="s">
        <v>431</v>
      </c>
      <c r="C62" s="553"/>
      <c r="D62" s="542"/>
      <c r="E62" s="542"/>
      <c r="F62" s="542"/>
      <c r="G62" s="566">
        <v>2.6517772565803446</v>
      </c>
      <c r="H62" s="542"/>
      <c r="I62" s="542"/>
      <c r="J62" s="542"/>
      <c r="K62" s="542"/>
      <c r="L62" s="543"/>
    </row>
    <row r="63" spans="1:12" ht="14.25">
      <c r="A63" s="121"/>
      <c r="B63" s="63" t="s">
        <v>658</v>
      </c>
      <c r="C63" s="553"/>
      <c r="D63" s="542"/>
      <c r="E63" s="542">
        <v>4.956084184834362</v>
      </c>
      <c r="F63" s="542">
        <v>6.5842708344637115</v>
      </c>
      <c r="G63" s="542">
        <v>13.603613782208573</v>
      </c>
      <c r="H63" s="542"/>
      <c r="I63" s="542"/>
      <c r="J63" s="542"/>
      <c r="K63" s="542"/>
      <c r="L63" s="543"/>
    </row>
    <row r="64" spans="2:12" ht="14.25">
      <c r="B64" s="63" t="s">
        <v>666</v>
      </c>
      <c r="E64" s="70">
        <v>0.11930475286833168</v>
      </c>
      <c r="F64" s="70">
        <v>0.3440487918747131</v>
      </c>
      <c r="G64" s="70">
        <v>0.3694313795939336</v>
      </c>
      <c r="H64" s="542"/>
      <c r="I64" s="542"/>
      <c r="J64" s="542"/>
      <c r="K64" s="542"/>
      <c r="L64" s="543"/>
    </row>
    <row r="65" spans="1:12" ht="14.25">
      <c r="A65" s="121"/>
      <c r="B65" s="77" t="s">
        <v>495</v>
      </c>
      <c r="C65" s="77"/>
      <c r="D65" s="542">
        <v>1161.4584899021247</v>
      </c>
      <c r="E65" s="542"/>
      <c r="F65" s="542"/>
      <c r="G65" s="542"/>
      <c r="H65" s="542"/>
      <c r="I65" s="542"/>
      <c r="J65" s="542"/>
      <c r="K65" s="542"/>
      <c r="L65" s="543"/>
    </row>
    <row r="66" spans="2:7" ht="14.25">
      <c r="B66" s="63" t="s">
        <v>550</v>
      </c>
      <c r="E66" s="556">
        <v>-3.875</v>
      </c>
      <c r="F66" s="556">
        <v>0.29239766081871343</v>
      </c>
      <c r="G66" s="556">
        <v>-4.0848276202744245</v>
      </c>
    </row>
    <row r="67" spans="2:7" ht="14.25">
      <c r="B67" s="63" t="s">
        <v>551</v>
      </c>
      <c r="E67" s="556">
        <v>0</v>
      </c>
      <c r="F67" s="556">
        <v>0</v>
      </c>
      <c r="G67" s="556">
        <v>0</v>
      </c>
    </row>
    <row r="68" ht="14.25"/>
    <row r="69" ht="14.25">
      <c r="B69" s="69"/>
    </row>
    <row r="70" spans="2:7" ht="14.25">
      <c r="B70" s="554" t="s">
        <v>785</v>
      </c>
      <c r="E70" s="568">
        <v>229.146</v>
      </c>
      <c r="F70" s="568">
        <v>236.58284600389865</v>
      </c>
      <c r="G70" s="568">
        <v>268.09732260614953</v>
      </c>
    </row>
    <row r="71" spans="2:7" ht="14.25">
      <c r="B71" s="554" t="s">
        <v>66</v>
      </c>
      <c r="E71" s="568">
        <v>-76.88508052441951</v>
      </c>
      <c r="F71" s="568">
        <v>-87.7246510267004</v>
      </c>
      <c r="G71" s="568">
        <v>-95.92439377248363</v>
      </c>
    </row>
    <row r="72" spans="2:12" ht="14.25">
      <c r="B72" s="554" t="s">
        <v>67</v>
      </c>
      <c r="E72" s="568">
        <v>-26.902197802197804</v>
      </c>
      <c r="F72" s="568">
        <v>-31.453634085213032</v>
      </c>
      <c r="G72" s="568">
        <v>-33.06591231080818</v>
      </c>
      <c r="H72" s="569"/>
      <c r="I72" s="569"/>
      <c r="J72" s="569"/>
      <c r="K72" s="569"/>
      <c r="L72" s="569"/>
    </row>
    <row r="73" spans="2:12" ht="14.25">
      <c r="B73" s="554" t="s">
        <v>8</v>
      </c>
      <c r="E73" s="568">
        <v>-20.515759406</v>
      </c>
      <c r="F73" s="568">
        <v>-20.49247468217314</v>
      </c>
      <c r="G73" s="568">
        <v>-20.676571553077814</v>
      </c>
      <c r="H73" s="71"/>
      <c r="I73" s="71"/>
      <c r="J73" s="71"/>
      <c r="K73" s="71"/>
      <c r="L73" s="71"/>
    </row>
    <row r="74" spans="2:12" ht="14.25">
      <c r="B74" s="554" t="s">
        <v>754</v>
      </c>
      <c r="E74" s="568">
        <v>-5.8483594976452125</v>
      </c>
      <c r="F74" s="568">
        <v>-4.40489211429061</v>
      </c>
      <c r="G74" s="568">
        <v>-7.219707970549989</v>
      </c>
      <c r="H74" s="71"/>
      <c r="I74" s="71"/>
      <c r="J74" s="71"/>
      <c r="K74" s="71"/>
      <c r="L74" s="71"/>
    </row>
    <row r="75" spans="2:12" ht="14.25">
      <c r="B75" s="554" t="s">
        <v>57</v>
      </c>
      <c r="E75" s="568">
        <v>-20.99603711203026</v>
      </c>
      <c r="F75" s="568">
        <v>-21.31396868238973</v>
      </c>
      <c r="G75" s="568">
        <v>-21.400195812835598</v>
      </c>
      <c r="H75" s="569"/>
      <c r="I75" s="569"/>
      <c r="J75" s="569"/>
      <c r="K75" s="569"/>
      <c r="L75" s="569"/>
    </row>
    <row r="76" spans="2:12" ht="14.25">
      <c r="B76" s="554" t="s">
        <v>162</v>
      </c>
      <c r="E76" s="568">
        <v>16.268928705031904</v>
      </c>
      <c r="F76" s="568">
        <v>25.328006085046525</v>
      </c>
      <c r="G76" s="568">
        <v>47.9719788407202</v>
      </c>
      <c r="H76" s="558"/>
      <c r="I76" s="558"/>
      <c r="J76" s="558"/>
      <c r="K76" s="558"/>
      <c r="L76" s="558"/>
    </row>
    <row r="77" spans="2:12" ht="14.25">
      <c r="B77" s="554" t="s">
        <v>586</v>
      </c>
      <c r="E77" s="568">
        <v>39.438002588633964</v>
      </c>
      <c r="F77" s="568">
        <v>40.18142040110257</v>
      </c>
      <c r="G77" s="568">
        <v>0</v>
      </c>
      <c r="H77" s="71"/>
      <c r="I77" s="71"/>
      <c r="J77" s="71"/>
      <c r="K77" s="71"/>
      <c r="L77" s="71"/>
    </row>
    <row r="78" spans="2:12" ht="14.25">
      <c r="B78" s="554" t="s">
        <v>584</v>
      </c>
      <c r="E78" s="568">
        <v>27.188825773967938</v>
      </c>
      <c r="F78" s="568">
        <v>26.84885254336238</v>
      </c>
      <c r="G78" s="568">
        <v>25.81699394365051</v>
      </c>
      <c r="H78" s="558"/>
      <c r="I78" s="558"/>
      <c r="J78" s="558"/>
      <c r="K78" s="558"/>
      <c r="L78" s="558"/>
    </row>
    <row r="79" spans="2:12" ht="14.25">
      <c r="B79" s="554" t="s">
        <v>587</v>
      </c>
      <c r="E79" s="568">
        <v>11.381583883917914</v>
      </c>
      <c r="F79" s="568">
        <v>10.34770385370621</v>
      </c>
      <c r="G79" s="568">
        <v>0</v>
      </c>
      <c r="H79" s="71"/>
      <c r="I79" s="71"/>
      <c r="J79" s="71"/>
      <c r="K79" s="71"/>
      <c r="L79" s="71"/>
    </row>
    <row r="80" spans="2:12" ht="14.25">
      <c r="B80" s="554" t="s">
        <v>585</v>
      </c>
      <c r="E80" s="568">
        <v>21.881515659470846</v>
      </c>
      <c r="F80" s="568">
        <v>17.564058883066863</v>
      </c>
      <c r="G80" s="568">
        <v>20.835364393336356</v>
      </c>
      <c r="H80" s="558"/>
      <c r="I80" s="558"/>
      <c r="J80" s="558"/>
      <c r="K80" s="558"/>
      <c r="L80" s="558"/>
    </row>
    <row r="81" spans="2:12" ht="14.25">
      <c r="B81" s="554" t="s">
        <v>588</v>
      </c>
      <c r="E81" s="568">
        <v>-3.875</v>
      </c>
      <c r="F81" s="568">
        <v>0.29239766081871343</v>
      </c>
      <c r="G81" s="568">
        <v>-4.0848276202744245</v>
      </c>
      <c r="H81" s="71"/>
      <c r="I81" s="71"/>
      <c r="J81" s="71"/>
      <c r="K81" s="71"/>
      <c r="L81" s="71"/>
    </row>
    <row r="82" spans="2:12" ht="14.25">
      <c r="B82" s="554" t="s">
        <v>589</v>
      </c>
      <c r="E82" s="568">
        <v>0</v>
      </c>
      <c r="F82" s="568">
        <v>0</v>
      </c>
      <c r="G82" s="568">
        <v>0</v>
      </c>
      <c r="H82" s="71"/>
      <c r="I82" s="71"/>
      <c r="J82" s="71"/>
      <c r="K82" s="71"/>
      <c r="L82" s="71"/>
    </row>
    <row r="83" spans="2:12" ht="14.25">
      <c r="B83" s="554" t="s">
        <v>599</v>
      </c>
      <c r="E83" s="568">
        <v>8.1</v>
      </c>
      <c r="F83" s="568">
        <v>8.1</v>
      </c>
      <c r="G83" s="568">
        <v>7.6</v>
      </c>
      <c r="H83" s="569"/>
      <c r="I83" s="569"/>
      <c r="J83" s="569"/>
      <c r="K83" s="569"/>
      <c r="L83" s="569"/>
    </row>
    <row r="84" spans="2:12" ht="14.25">
      <c r="B84" s="554" t="s">
        <v>163</v>
      </c>
      <c r="E84" s="568">
        <v>2.0617250013792523</v>
      </c>
      <c r="F84" s="568">
        <v>2.0092346182760776</v>
      </c>
      <c r="G84" s="568">
        <v>0</v>
      </c>
      <c r="H84" s="569"/>
      <c r="I84" s="569"/>
      <c r="J84" s="569"/>
      <c r="K84" s="569"/>
      <c r="L84" s="569"/>
    </row>
    <row r="85" spans="2:7" ht="14.25">
      <c r="B85" s="554" t="s">
        <v>607</v>
      </c>
      <c r="E85" s="568">
        <v>5.655179192098904</v>
      </c>
      <c r="F85" s="568">
        <v>7.135596473306933</v>
      </c>
      <c r="G85" s="568">
        <v>8.210872366711559</v>
      </c>
    </row>
    <row r="86" spans="2:7" ht="14.25">
      <c r="B86" s="554" t="s">
        <v>481</v>
      </c>
      <c r="E86" s="70">
        <v>5.418973198436144</v>
      </c>
      <c r="F86" s="70">
        <v>6.459796162440223</v>
      </c>
      <c r="G86" s="70">
        <v>7.419663343848651</v>
      </c>
    </row>
    <row r="87" spans="2:7" ht="14.25">
      <c r="B87" s="554" t="s">
        <v>657</v>
      </c>
      <c r="E87" s="568">
        <v>4.956084184834362</v>
      </c>
      <c r="F87" s="568">
        <v>6.584270834463712</v>
      </c>
      <c r="G87" s="568">
        <v>13.603613782208573</v>
      </c>
    </row>
    <row r="88" spans="2:7" ht="14.25">
      <c r="B88" s="63" t="s">
        <v>661</v>
      </c>
      <c r="E88" s="542">
        <v>0.11930475286833168</v>
      </c>
      <c r="F88" s="542">
        <v>0.3440487918747131</v>
      </c>
      <c r="G88" s="542">
        <v>0.3694313795939336</v>
      </c>
    </row>
    <row r="89" spans="5:7" ht="14.25">
      <c r="E89" s="542"/>
      <c r="F89" s="542"/>
      <c r="G89" s="542"/>
    </row>
    <row r="90" spans="5:7" ht="14.25">
      <c r="E90" s="542"/>
      <c r="F90" s="542"/>
      <c r="G90" s="542"/>
    </row>
    <row r="91" spans="2:7" ht="14.25">
      <c r="B91" s="69" t="s">
        <v>164</v>
      </c>
      <c r="E91" s="542"/>
      <c r="F91" s="542"/>
      <c r="G91" s="542"/>
    </row>
    <row r="92" spans="3:4" ht="14.25">
      <c r="C92" s="555"/>
      <c r="D92" s="556"/>
    </row>
    <row r="93" spans="2:7" ht="14.25">
      <c r="B93" s="554" t="s">
        <v>178</v>
      </c>
      <c r="C93" s="555"/>
      <c r="D93" s="556"/>
      <c r="E93" s="556">
        <v>-0.7712769230769232</v>
      </c>
      <c r="F93" s="556">
        <v>-1.0688933873144402</v>
      </c>
      <c r="G93" s="556">
        <v>-1.303198186854697</v>
      </c>
    </row>
    <row r="94" spans="2:7" ht="14.25">
      <c r="B94" s="554" t="s">
        <v>179</v>
      </c>
      <c r="C94" s="555"/>
      <c r="D94" s="556"/>
      <c r="E94" s="556">
        <v>1.88</v>
      </c>
      <c r="F94" s="556">
        <v>-0.2582846003898638</v>
      </c>
      <c r="G94" s="556">
        <v>0.8924538984454848</v>
      </c>
    </row>
    <row r="95" spans="2:7" ht="14.25">
      <c r="B95" s="554" t="s">
        <v>180</v>
      </c>
      <c r="C95" s="555"/>
      <c r="D95" s="556"/>
      <c r="E95" s="556">
        <v>-3.5658283680216707</v>
      </c>
      <c r="F95" s="556">
        <v>-3.467577674344591</v>
      </c>
      <c r="G95" s="556">
        <v>-2.8191320530355255</v>
      </c>
    </row>
    <row r="96" spans="2:7" ht="14.25">
      <c r="B96" s="554" t="s">
        <v>192</v>
      </c>
      <c r="C96" s="555"/>
      <c r="D96" s="556"/>
      <c r="E96" s="556">
        <v>-2.635</v>
      </c>
      <c r="F96" s="556">
        <v>0.29239766081871343</v>
      </c>
      <c r="G96" s="556">
        <v>-4.0848276202744245</v>
      </c>
    </row>
    <row r="97" spans="2:7" ht="14.25">
      <c r="B97" s="554" t="s">
        <v>149</v>
      </c>
      <c r="C97" s="555"/>
      <c r="D97" s="556"/>
      <c r="E97" s="556">
        <v>0.08333333333333334</v>
      </c>
      <c r="F97" s="556">
        <v>0.09746588693957116</v>
      </c>
      <c r="G97" s="556">
        <v>0.09499599116917268</v>
      </c>
    </row>
    <row r="98" spans="2:12" ht="25.5">
      <c r="B98" s="238" t="s">
        <v>231</v>
      </c>
      <c r="E98" s="570">
        <v>0.9582319170376116</v>
      </c>
      <c r="F98" s="570">
        <v>0.9052916860707069</v>
      </c>
      <c r="G98" s="570">
        <v>0.9036388598523806</v>
      </c>
      <c r="H98" s="557">
        <v>-1.2173132945472378</v>
      </c>
      <c r="I98" s="557">
        <v>-1.22678420322143</v>
      </c>
      <c r="J98" s="557">
        <v>-0.7554339583061244</v>
      </c>
      <c r="K98" s="557">
        <v>-1.0798200434019496</v>
      </c>
      <c r="L98" s="557">
        <v>-0.952823954047868</v>
      </c>
    </row>
    <row r="99" spans="2:7" ht="14.25">
      <c r="B99" s="582"/>
      <c r="E99" s="575"/>
      <c r="F99" s="575"/>
      <c r="G99" s="575"/>
    </row>
    <row r="100" spans="2:7" ht="14.25">
      <c r="B100" s="582"/>
      <c r="E100" s="575"/>
      <c r="F100" s="575"/>
      <c r="G100" s="575"/>
    </row>
    <row r="101" spans="2:7" ht="14.25">
      <c r="B101" s="582"/>
      <c r="E101" s="575"/>
      <c r="F101" s="575"/>
      <c r="G101" s="575"/>
    </row>
    <row r="102" ht="14.25">
      <c r="B102" s="69" t="s">
        <v>165</v>
      </c>
    </row>
    <row r="103" spans="2:12" ht="14.25">
      <c r="B103" s="63" t="s">
        <v>636</v>
      </c>
      <c r="E103" s="571">
        <v>0</v>
      </c>
      <c r="F103" s="571">
        <v>0</v>
      </c>
      <c r="G103" s="571">
        <v>0</v>
      </c>
      <c r="H103" s="571">
        <v>0</v>
      </c>
      <c r="I103" s="571">
        <v>0</v>
      </c>
      <c r="J103" s="571">
        <v>0</v>
      </c>
      <c r="K103" s="571">
        <v>0</v>
      </c>
      <c r="L103" s="571">
        <v>0</v>
      </c>
    </row>
    <row r="104" spans="2:12" ht="14.25">
      <c r="B104" s="63" t="s">
        <v>647</v>
      </c>
      <c r="E104" s="563">
        <v>400</v>
      </c>
      <c r="F104" s="563">
        <v>419.9</v>
      </c>
      <c r="G104" s="563">
        <v>480.1</v>
      </c>
      <c r="H104" s="563">
        <v>525.1119570085087</v>
      </c>
      <c r="I104" s="563">
        <v>544.3837518803036</v>
      </c>
      <c r="J104" s="563">
        <v>567.098138128573</v>
      </c>
      <c r="K104" s="563">
        <v>613.2981381285731</v>
      </c>
      <c r="L104" s="563">
        <v>648.3981381285731</v>
      </c>
    </row>
    <row r="105" spans="2:13" ht="14.25">
      <c r="B105" s="63" t="s">
        <v>111</v>
      </c>
      <c r="M105" s="77"/>
    </row>
    <row r="106" ht="14.25"/>
    <row r="107" spans="2:12" ht="14.25">
      <c r="B107" s="63" t="s">
        <v>0</v>
      </c>
      <c r="E107" s="563">
        <v>1</v>
      </c>
      <c r="F107" s="563">
        <v>1</v>
      </c>
      <c r="G107" s="563">
        <v>1</v>
      </c>
      <c r="H107" s="563">
        <v>1</v>
      </c>
      <c r="I107" s="563">
        <v>1</v>
      </c>
      <c r="J107" s="563">
        <v>1</v>
      </c>
      <c r="K107" s="563">
        <v>1</v>
      </c>
      <c r="L107" s="563">
        <v>1</v>
      </c>
    </row>
    <row r="108" spans="2:12" ht="14.25">
      <c r="B108" s="63" t="s">
        <v>756</v>
      </c>
      <c r="E108" s="563">
        <v>6.601850040239836</v>
      </c>
      <c r="F108" s="563">
        <v>1.1628256499959473</v>
      </c>
      <c r="G108" s="563">
        <v>8.633785947367494</v>
      </c>
      <c r="H108" s="563">
        <v>14.16874746940238</v>
      </c>
      <c r="I108" s="563">
        <v>14.902042075058755</v>
      </c>
      <c r="J108" s="563">
        <v>15.635535484212697</v>
      </c>
      <c r="K108" s="563">
        <v>16.246407324485908</v>
      </c>
      <c r="L108" s="563">
        <v>16.969383152546765</v>
      </c>
    </row>
    <row r="109" spans="2:12" ht="14.25">
      <c r="B109" s="63" t="s">
        <v>637</v>
      </c>
      <c r="E109" s="563">
        <v>699.3981399511434</v>
      </c>
      <c r="F109" s="563">
        <v>699.3981399511434</v>
      </c>
      <c r="G109" s="563">
        <v>699.3981399511434</v>
      </c>
      <c r="H109" s="563">
        <v>699.3981399511434</v>
      </c>
      <c r="I109" s="563">
        <v>699.3981399511434</v>
      </c>
      <c r="J109" s="563">
        <v>699.3981399511434</v>
      </c>
      <c r="K109" s="563">
        <v>699.3981399511434</v>
      </c>
      <c r="L109" s="563">
        <v>699.3981399511434</v>
      </c>
    </row>
    <row r="110" spans="2:12" ht="14.25">
      <c r="B110" s="63" t="s">
        <v>648</v>
      </c>
      <c r="E110" s="572">
        <v>26.99987585495444</v>
      </c>
      <c r="F110" s="572">
        <v>-0.03995414504555583</v>
      </c>
      <c r="G110" s="572">
        <v>-0.05140414504569435</v>
      </c>
      <c r="H110" s="572">
        <v>-0.02268414504573002</v>
      </c>
      <c r="I110" s="572">
        <v>-0.013234145045771584</v>
      </c>
      <c r="J110" s="572">
        <v>-0.05335414504588698</v>
      </c>
      <c r="K110" s="572">
        <v>-0.06227414504587614</v>
      </c>
      <c r="L110" s="572">
        <v>-0.038694145045724326</v>
      </c>
    </row>
    <row r="111" spans="2:12" ht="14.25">
      <c r="B111" s="63" t="s">
        <v>649</v>
      </c>
      <c r="E111" s="571">
        <v>5</v>
      </c>
      <c r="F111" s="571" t="s">
        <v>21</v>
      </c>
      <c r="G111" s="571" t="s">
        <v>21</v>
      </c>
      <c r="H111" s="571" t="s">
        <v>21</v>
      </c>
      <c r="I111" s="571" t="s">
        <v>21</v>
      </c>
      <c r="J111" s="571" t="s">
        <v>21</v>
      </c>
      <c r="K111" s="571" t="s">
        <v>21</v>
      </c>
      <c r="L111" s="571" t="s">
        <v>21</v>
      </c>
    </row>
    <row r="112" spans="2:12" ht="14.25">
      <c r="B112" s="63" t="s">
        <v>638</v>
      </c>
      <c r="E112" s="563">
        <v>27</v>
      </c>
      <c r="F112" s="563">
        <v>27</v>
      </c>
      <c r="G112" s="563">
        <v>27</v>
      </c>
      <c r="H112" s="563">
        <v>27</v>
      </c>
      <c r="I112" s="563">
        <v>27</v>
      </c>
      <c r="J112" s="563">
        <v>27</v>
      </c>
      <c r="K112" s="563">
        <v>27</v>
      </c>
      <c r="L112" s="563">
        <v>27</v>
      </c>
    </row>
    <row r="113" ht="14.25"/>
    <row r="114" spans="2:12" ht="14.25">
      <c r="B114" s="63" t="s">
        <v>639</v>
      </c>
      <c r="E114" s="573">
        <v>-123</v>
      </c>
      <c r="F114" s="573">
        <v>-127.77991664583756</v>
      </c>
      <c r="G114" s="573">
        <v>-141.32729160670317</v>
      </c>
      <c r="H114" s="573">
        <v>-148.37300873282192</v>
      </c>
      <c r="I114" s="573">
        <v>-150.07789118768295</v>
      </c>
      <c r="J114" s="573">
        <v>-158.1707667252367</v>
      </c>
      <c r="K114" s="573">
        <v>-169.8709437188189</v>
      </c>
      <c r="L114" s="573">
        <v>-178.77641025426635</v>
      </c>
    </row>
    <row r="115" spans="2:12" ht="14.25">
      <c r="B115" s="63" t="s">
        <v>640</v>
      </c>
      <c r="E115" s="574">
        <v>-34.32329816834757</v>
      </c>
      <c r="F115" s="574">
        <v>-29.53777163064334</v>
      </c>
      <c r="G115" s="574">
        <v>-29.53777163064334</v>
      </c>
      <c r="H115" s="574">
        <v>-29.53777163064334</v>
      </c>
      <c r="I115" s="574">
        <v>-29.53777163064334</v>
      </c>
      <c r="J115" s="574">
        <v>-29.53777163064334</v>
      </c>
      <c r="K115" s="574">
        <v>-29.53777163064334</v>
      </c>
      <c r="L115" s="574">
        <v>-29.53777163064334</v>
      </c>
    </row>
    <row r="116" spans="2:12" ht="14.25">
      <c r="B116" s="63" t="s">
        <v>641</v>
      </c>
      <c r="E116" s="574">
        <v>-40.67647433991403</v>
      </c>
      <c r="F116" s="574">
        <v>-38.76422647773533</v>
      </c>
      <c r="G116" s="574">
        <v>-39.85002647773532</v>
      </c>
      <c r="H116" s="574">
        <v>-40.92692647773531</v>
      </c>
      <c r="I116" s="574">
        <v>-42.02162647773534</v>
      </c>
      <c r="J116" s="574">
        <v>-43.1341264777353</v>
      </c>
      <c r="K116" s="574">
        <v>-44.273326477735324</v>
      </c>
      <c r="L116" s="574">
        <v>-45.474826477735306</v>
      </c>
    </row>
    <row r="117" spans="5:12" ht="14.25">
      <c r="E117" s="77"/>
      <c r="F117" s="77"/>
      <c r="G117" s="77"/>
      <c r="H117" s="77"/>
      <c r="I117" s="77"/>
      <c r="J117" s="77"/>
      <c r="K117" s="77"/>
      <c r="L117" s="77"/>
    </row>
    <row r="118" spans="2:12" ht="14.25">
      <c r="B118" s="63" t="s">
        <v>650</v>
      </c>
      <c r="E118" s="574">
        <v>-325</v>
      </c>
      <c r="F118" s="574">
        <v>-337.62986105607484</v>
      </c>
      <c r="G118" s="574">
        <v>-373.4257705055165</v>
      </c>
      <c r="H118" s="574">
        <v>-392.04250274932616</v>
      </c>
      <c r="I118" s="574">
        <v>-396.5472734633899</v>
      </c>
      <c r="J118" s="574">
        <v>-417.9308876886335</v>
      </c>
      <c r="K118" s="574">
        <v>-448.8459895009442</v>
      </c>
      <c r="L118" s="574">
        <v>-472.37669376127286</v>
      </c>
    </row>
    <row r="119" spans="2:12" ht="14.25">
      <c r="B119" s="63" t="s">
        <v>651</v>
      </c>
      <c r="E119" s="574" t="s">
        <v>21</v>
      </c>
      <c r="F119" s="574" t="s">
        <v>21</v>
      </c>
      <c r="G119" s="574" t="s">
        <v>21</v>
      </c>
      <c r="H119" s="574" t="s">
        <v>21</v>
      </c>
      <c r="I119" s="574" t="s">
        <v>21</v>
      </c>
      <c r="J119" s="574" t="s">
        <v>21</v>
      </c>
      <c r="K119" s="574" t="s">
        <v>21</v>
      </c>
      <c r="L119" s="574" t="s">
        <v>21</v>
      </c>
    </row>
    <row r="120" spans="2:12" ht="14.25">
      <c r="B120" s="63" t="s">
        <v>642</v>
      </c>
      <c r="E120" s="574">
        <v>-82</v>
      </c>
      <c r="F120" s="574">
        <v>-94.51784786217873</v>
      </c>
      <c r="G120" s="574">
        <v>-105.63204786217871</v>
      </c>
      <c r="H120" s="574">
        <v>-116.65514786217871</v>
      </c>
      <c r="I120" s="574">
        <v>-127.86044786217869</v>
      </c>
      <c r="J120" s="574">
        <v>-139.2479478621787</v>
      </c>
      <c r="K120" s="574">
        <v>-150.9087478621787</v>
      </c>
      <c r="L120" s="574">
        <v>-163.2072478621787</v>
      </c>
    </row>
    <row r="121" spans="2:12" ht="14.25">
      <c r="B121" s="63" t="s">
        <v>788</v>
      </c>
      <c r="E121" s="574">
        <v>-33</v>
      </c>
      <c r="F121" s="574">
        <v>-29.03516935861976</v>
      </c>
      <c r="G121" s="574">
        <v>-36.64313166065105</v>
      </c>
      <c r="H121" s="574">
        <v>-5.146353079007774</v>
      </c>
      <c r="I121" s="574">
        <v>23.485705954169326</v>
      </c>
      <c r="J121" s="574">
        <v>54.16382881188021</v>
      </c>
      <c r="K121" s="574">
        <v>85.49375579366856</v>
      </c>
      <c r="L121" s="574">
        <v>115.90557567290692</v>
      </c>
    </row>
    <row r="122" spans="2:12" ht="14.25">
      <c r="B122" s="63" t="s">
        <v>69</v>
      </c>
      <c r="E122" s="574" t="s">
        <v>21</v>
      </c>
      <c r="F122" s="574" t="s">
        <v>21</v>
      </c>
      <c r="G122" s="574">
        <v>-0.8659376213288377</v>
      </c>
      <c r="H122" s="574">
        <v>-25.90615461123839</v>
      </c>
      <c r="I122" s="574">
        <v>-26.891041992328184</v>
      </c>
      <c r="J122" s="574">
        <v>-26.702763876301013</v>
      </c>
      <c r="K122" s="574">
        <v>-26.32381204683834</v>
      </c>
      <c r="L122" s="574">
        <v>-26.349064381774426</v>
      </c>
    </row>
    <row r="123" spans="2:12" ht="14.25">
      <c r="B123" s="63" t="s">
        <v>344</v>
      </c>
      <c r="E123" s="574" t="s">
        <v>21</v>
      </c>
      <c r="F123" s="574" t="s">
        <v>21</v>
      </c>
      <c r="G123" s="574" t="s">
        <v>21</v>
      </c>
      <c r="H123" s="574" t="s">
        <v>21</v>
      </c>
      <c r="I123" s="574" t="s">
        <v>21</v>
      </c>
      <c r="J123" s="574" t="s">
        <v>21</v>
      </c>
      <c r="K123" s="574" t="s">
        <v>21</v>
      </c>
      <c r="L123" s="574" t="s">
        <v>21</v>
      </c>
    </row>
    <row r="124" spans="2:12" ht="14.25">
      <c r="B124" s="63" t="s">
        <v>643</v>
      </c>
      <c r="E124" s="574">
        <v>-13</v>
      </c>
      <c r="F124" s="574">
        <v>-12.0844775</v>
      </c>
      <c r="G124" s="574">
        <v>-11.3549775</v>
      </c>
      <c r="H124" s="574">
        <v>-10.6795775</v>
      </c>
      <c r="I124" s="574">
        <v>-9.8791775</v>
      </c>
      <c r="J124" s="574">
        <v>-8.7787775</v>
      </c>
      <c r="K124" s="574">
        <v>-8.503377500000001</v>
      </c>
      <c r="L124" s="574">
        <v>-8.227977500000001</v>
      </c>
    </row>
    <row r="125" spans="2:12" ht="14.25">
      <c r="B125" s="63" t="s">
        <v>644</v>
      </c>
      <c r="E125" s="574">
        <v>-6</v>
      </c>
      <c r="F125" s="574">
        <v>-1.6570516504854371</v>
      </c>
      <c r="G125" s="574">
        <v>-0.5737290336630076</v>
      </c>
      <c r="H125" s="574">
        <v>-0.31671794640152745</v>
      </c>
      <c r="I125" s="574">
        <v>-0.1278178838666685</v>
      </c>
      <c r="J125" s="574">
        <v>-0.04550848842664282</v>
      </c>
      <c r="K125" s="574">
        <v>0.03680090701338287</v>
      </c>
      <c r="L125" s="574">
        <v>0.11911030245340856</v>
      </c>
    </row>
    <row r="126" spans="2:12" ht="14.25">
      <c r="B126" s="63" t="s">
        <v>117</v>
      </c>
      <c r="E126" s="574" t="s">
        <v>21</v>
      </c>
      <c r="F126" s="574" t="s">
        <v>21</v>
      </c>
      <c r="G126" s="574" t="s">
        <v>21</v>
      </c>
      <c r="H126" s="574" t="s">
        <v>21</v>
      </c>
      <c r="I126" s="574" t="s">
        <v>21</v>
      </c>
      <c r="J126" s="574" t="s">
        <v>21</v>
      </c>
      <c r="K126" s="574" t="s">
        <v>21</v>
      </c>
      <c r="L126" s="574" t="s">
        <v>21</v>
      </c>
    </row>
    <row r="127" spans="5:12" ht="14.25">
      <c r="E127" s="77"/>
      <c r="F127" s="77"/>
      <c r="G127" s="77"/>
      <c r="H127" s="77"/>
      <c r="I127" s="77"/>
      <c r="J127" s="77"/>
      <c r="K127" s="77"/>
      <c r="L127" s="77"/>
    </row>
    <row r="128" spans="2:12" ht="14.25">
      <c r="B128" s="63" t="s">
        <v>654</v>
      </c>
      <c r="E128" s="574">
        <v>566.4069999999999</v>
      </c>
      <c r="F128" s="574">
        <v>566.4069999999999</v>
      </c>
      <c r="G128" s="574">
        <v>566.4069999999999</v>
      </c>
      <c r="H128" s="574">
        <v>566.4069999999999</v>
      </c>
      <c r="I128" s="574">
        <v>566.4069999999999</v>
      </c>
      <c r="J128" s="574">
        <v>566.4069999999999</v>
      </c>
      <c r="K128" s="574">
        <v>566.4069999999999</v>
      </c>
      <c r="L128" s="574">
        <v>566.4069999999999</v>
      </c>
    </row>
    <row r="129" spans="2:12" ht="14.25">
      <c r="B129" s="63" t="s">
        <v>96</v>
      </c>
      <c r="E129" s="574">
        <v>-57.406906661923934</v>
      </c>
      <c r="F129" s="574">
        <v>-88.9923107254812</v>
      </c>
      <c r="G129" s="574">
        <v>-89.53716214495454</v>
      </c>
      <c r="H129" s="574">
        <v>-69.3350003053442</v>
      </c>
      <c r="I129" s="574">
        <v>-39.19364228219558</v>
      </c>
      <c r="J129" s="574">
        <v>-25.713262018391397</v>
      </c>
      <c r="K129" s="574">
        <v>-2.260000777320087</v>
      </c>
      <c r="L129" s="574">
        <v>18.39466119470695</v>
      </c>
    </row>
    <row r="130" spans="2:12" ht="14.25">
      <c r="B130" s="63" t="s">
        <v>645</v>
      </c>
      <c r="E130" s="574" t="s">
        <v>21</v>
      </c>
      <c r="F130" s="574" t="s">
        <v>21</v>
      </c>
      <c r="G130" s="574" t="s">
        <v>21</v>
      </c>
      <c r="H130" s="574" t="s">
        <v>21</v>
      </c>
      <c r="I130" s="574" t="s">
        <v>21</v>
      </c>
      <c r="J130" s="574" t="s">
        <v>21</v>
      </c>
      <c r="K130" s="574" t="s">
        <v>21</v>
      </c>
      <c r="L130" s="574" t="s">
        <v>21</v>
      </c>
    </row>
    <row r="131" spans="5:7" ht="14.25">
      <c r="E131" s="575"/>
      <c r="F131" s="575"/>
      <c r="G131" s="575"/>
    </row>
    <row r="132" spans="2:5" ht="14.25">
      <c r="B132" s="63" t="s">
        <v>655</v>
      </c>
      <c r="C132" s="124"/>
      <c r="D132" s="522"/>
      <c r="E132" s="116">
        <v>1</v>
      </c>
    </row>
    <row r="133" spans="2:5" ht="14.25">
      <c r="B133" s="63" t="s">
        <v>347</v>
      </c>
      <c r="E133" s="82"/>
    </row>
    <row r="134" spans="2:5" ht="14.25">
      <c r="B134" s="63" t="s">
        <v>349</v>
      </c>
      <c r="E134" s="82"/>
    </row>
    <row r="135" spans="2:7" ht="14.25">
      <c r="B135" s="63" t="s">
        <v>368</v>
      </c>
      <c r="F135" s="568">
        <v>0.29239766081871343</v>
      </c>
      <c r="G135" s="568">
        <v>-4.0848276202744245</v>
      </c>
    </row>
    <row r="136" spans="2:7" ht="14.25">
      <c r="B136" s="63" t="s">
        <v>499</v>
      </c>
      <c r="F136" s="568">
        <v>0</v>
      </c>
      <c r="G136" s="568">
        <v>0</v>
      </c>
    </row>
    <row r="137" spans="6:7" ht="14.25">
      <c r="F137" s="575"/>
      <c r="G137" s="575"/>
    </row>
    <row r="138" spans="2:7" ht="14.25">
      <c r="B138" s="63" t="s">
        <v>745</v>
      </c>
      <c r="F138" s="575"/>
      <c r="G138" s="575"/>
    </row>
    <row r="139" spans="2:7" ht="14.25">
      <c r="B139" s="63" t="s">
        <v>746</v>
      </c>
      <c r="F139" s="575"/>
      <c r="G139" s="568">
        <v>0</v>
      </c>
    </row>
    <row r="140" spans="2:7" ht="14.25">
      <c r="B140" s="63" t="s">
        <v>747</v>
      </c>
      <c r="G140" s="576">
        <v>1</v>
      </c>
    </row>
    <row r="143" ht="14.25">
      <c r="B143" s="216" t="s">
        <v>166</v>
      </c>
    </row>
    <row r="145" ht="14.25">
      <c r="B145" s="63" t="s">
        <v>196</v>
      </c>
    </row>
    <row r="146" spans="2:6" ht="14.25">
      <c r="B146" s="63" t="s">
        <v>197</v>
      </c>
      <c r="E146" s="577">
        <v>6.592639620844194</v>
      </c>
      <c r="F146" s="577">
        <v>6.862103749857971</v>
      </c>
    </row>
    <row r="147" spans="2:6" ht="14.25">
      <c r="B147" s="63" t="s">
        <v>148</v>
      </c>
      <c r="E147" s="577">
        <v>16.268928705031904</v>
      </c>
      <c r="F147" s="577">
        <v>25.328006085046525</v>
      </c>
    </row>
    <row r="148" spans="2:6" ht="14.25">
      <c r="B148" s="63" t="s">
        <v>198</v>
      </c>
      <c r="E148" s="577">
        <v>9.67628908418771</v>
      </c>
      <c r="F148" s="577">
        <v>18.465902335188552</v>
      </c>
    </row>
    <row r="149" spans="5:6" ht="14.25">
      <c r="E149" s="70"/>
      <c r="F149" s="70"/>
    </row>
    <row r="150" spans="2:6" ht="14.25">
      <c r="B150" s="63" t="s">
        <v>199</v>
      </c>
      <c r="E150" s="70"/>
      <c r="F150" s="70"/>
    </row>
    <row r="151" spans="2:6" ht="14.25">
      <c r="B151" s="63" t="s">
        <v>197</v>
      </c>
      <c r="E151" s="577">
        <v>11.381583883917914</v>
      </c>
      <c r="F151" s="577">
        <v>10.34770385370621</v>
      </c>
    </row>
    <row r="152" spans="2:6" ht="14.25">
      <c r="B152" s="63" t="s">
        <v>148</v>
      </c>
      <c r="E152" s="577">
        <v>21.881515659470846</v>
      </c>
      <c r="F152" s="577">
        <v>17.564058883066863</v>
      </c>
    </row>
    <row r="153" spans="2:6" ht="14.25">
      <c r="B153" s="63" t="s">
        <v>303</v>
      </c>
      <c r="E153" s="578">
        <v>0</v>
      </c>
      <c r="F153" s="578">
        <v>0</v>
      </c>
    </row>
    <row r="154" spans="2:6" ht="14.25">
      <c r="B154" s="63" t="s">
        <v>304</v>
      </c>
      <c r="E154" s="577">
        <v>21.881515659470846</v>
      </c>
      <c r="F154" s="577">
        <v>17.564058883066863</v>
      </c>
    </row>
    <row r="155" spans="2:6" ht="14.25">
      <c r="B155" s="63" t="s">
        <v>198</v>
      </c>
      <c r="E155" s="577">
        <v>10.499931775552932</v>
      </c>
      <c r="F155" s="577">
        <v>7.216355029360653</v>
      </c>
    </row>
    <row r="156" spans="5:6" ht="14.25">
      <c r="E156" s="70"/>
      <c r="F156" s="70"/>
    </row>
    <row r="157" spans="2:6" ht="14.25">
      <c r="B157" s="63" t="s">
        <v>200</v>
      </c>
      <c r="E157" s="70"/>
      <c r="F157" s="70"/>
    </row>
    <row r="158" spans="2:6" ht="14.25">
      <c r="B158" s="63" t="s">
        <v>201</v>
      </c>
      <c r="E158" s="577">
        <v>12.283431562803152</v>
      </c>
      <c r="F158" s="577">
        <v>12.035955676711076</v>
      </c>
    </row>
    <row r="159" spans="2:6" ht="14.25">
      <c r="B159" s="63" t="s">
        <v>202</v>
      </c>
      <c r="E159" s="577">
        <v>32.45965242254379</v>
      </c>
      <c r="F159" s="577">
        <v>37.718213041260285</v>
      </c>
    </row>
    <row r="160" spans="2:6" ht="14.25">
      <c r="B160" s="63" t="s">
        <v>205</v>
      </c>
      <c r="E160" s="577">
        <v>20.17622085974064</v>
      </c>
      <c r="F160" s="577">
        <v>25.68225736454921</v>
      </c>
    </row>
    <row r="161" spans="5:6" ht="14.25">
      <c r="E161" s="70"/>
      <c r="F161" s="70"/>
    </row>
    <row r="162" spans="2:7" ht="14.25">
      <c r="B162" s="63" t="s">
        <v>541</v>
      </c>
      <c r="D162" s="89"/>
      <c r="E162" s="579">
        <v>0</v>
      </c>
      <c r="F162" s="579">
        <v>0</v>
      </c>
      <c r="G162" s="63" t="s">
        <v>167</v>
      </c>
    </row>
    <row r="163" spans="2:7" ht="14.25">
      <c r="B163" s="63" t="s">
        <v>542</v>
      </c>
      <c r="D163" s="89"/>
      <c r="E163" s="579">
        <v>22.675371850955138</v>
      </c>
      <c r="F163" s="579">
        <v>33.65932303059081</v>
      </c>
      <c r="G163" s="63" t="s">
        <v>167</v>
      </c>
    </row>
    <row r="164" spans="2:7" ht="14.25">
      <c r="B164" s="63" t="s">
        <v>543</v>
      </c>
      <c r="D164" s="89"/>
      <c r="E164" s="579">
        <v>0.014961084542174395</v>
      </c>
      <c r="F164" s="579">
        <v>0</v>
      </c>
      <c r="G164" s="63" t="s">
        <v>167</v>
      </c>
    </row>
    <row r="165" spans="2:7" ht="14.25">
      <c r="B165" s="63" t="s">
        <v>336</v>
      </c>
      <c r="D165" s="89"/>
      <c r="E165" s="579">
        <v>0</v>
      </c>
      <c r="F165" s="579">
        <v>0</v>
      </c>
      <c r="G165" s="63" t="s">
        <v>167</v>
      </c>
    </row>
    <row r="166" spans="5:6" ht="14.25">
      <c r="E166" s="70"/>
      <c r="F166" s="70"/>
    </row>
    <row r="167" ht="14.25">
      <c r="B167" s="63" t="s">
        <v>210</v>
      </c>
    </row>
    <row r="168" spans="2:7" ht="14.25">
      <c r="B168" s="63" t="s">
        <v>211</v>
      </c>
      <c r="G168" s="577">
        <v>46.3719788407202</v>
      </c>
    </row>
    <row r="169" spans="2:7" ht="14.25">
      <c r="B169" s="63" t="s">
        <v>212</v>
      </c>
      <c r="G169" s="577">
        <v>-2.243138436817972</v>
      </c>
    </row>
    <row r="170" spans="2:7" ht="14.25">
      <c r="B170" s="63" t="s">
        <v>215</v>
      </c>
      <c r="G170" s="577">
        <v>44.12884040390223</v>
      </c>
    </row>
    <row r="171" spans="2:7" ht="14.25">
      <c r="B171" s="63" t="s">
        <v>217</v>
      </c>
      <c r="G171" s="577">
        <v>20.83536439333636</v>
      </c>
    </row>
    <row r="172" spans="2:7" ht="14.25">
      <c r="B172" s="63" t="s">
        <v>218</v>
      </c>
      <c r="G172" s="577">
        <v>-1.3749887128787357</v>
      </c>
    </row>
    <row r="173" spans="2:7" ht="14.25">
      <c r="B173" s="63" t="s">
        <v>224</v>
      </c>
      <c r="G173" s="577">
        <v>19.460375680457624</v>
      </c>
    </row>
    <row r="174" spans="2:7" ht="14.25">
      <c r="B174" s="63" t="s">
        <v>213</v>
      </c>
      <c r="G174" s="577">
        <v>25.81699394365051</v>
      </c>
    </row>
    <row r="175" spans="2:7" ht="14.25">
      <c r="B175" s="63" t="s">
        <v>214</v>
      </c>
      <c r="G175" s="577">
        <v>-0.5163398788730156</v>
      </c>
    </row>
    <row r="176" spans="2:7" ht="14.25">
      <c r="B176" s="63" t="s">
        <v>216</v>
      </c>
      <c r="G176" s="577">
        <v>25.300654064777493</v>
      </c>
    </row>
    <row r="179" spans="1:2" s="77" customFormat="1" ht="14.25">
      <c r="A179" s="216"/>
      <c r="B179" s="216" t="s">
        <v>168</v>
      </c>
    </row>
    <row r="180" spans="1:2" ht="14.25">
      <c r="A180" s="216"/>
      <c r="B180" s="259" t="s">
        <v>408</v>
      </c>
    </row>
    <row r="181" spans="2:7" ht="14.25">
      <c r="B181" s="63" t="s">
        <v>434</v>
      </c>
      <c r="D181" s="63" t="s">
        <v>236</v>
      </c>
      <c r="G181" s="70">
        <v>0.24896140550330004</v>
      </c>
    </row>
    <row r="182" spans="2:7" ht="14.25">
      <c r="B182" s="63" t="s">
        <v>235</v>
      </c>
      <c r="D182" s="63" t="s">
        <v>237</v>
      </c>
      <c r="G182" s="70">
        <v>3.2894123302888083</v>
      </c>
    </row>
    <row r="184" spans="2:7" ht="14.25">
      <c r="B184" s="77" t="s">
        <v>598</v>
      </c>
      <c r="D184" s="63" t="s">
        <v>238</v>
      </c>
      <c r="G184" s="569">
        <v>-8.297754336707621</v>
      </c>
    </row>
    <row r="185" spans="2:7" ht="14.25">
      <c r="B185" s="77" t="s">
        <v>669</v>
      </c>
      <c r="D185" s="63" t="s">
        <v>240</v>
      </c>
      <c r="G185" s="569">
        <v>-8.315998419787155</v>
      </c>
    </row>
    <row r="186" spans="2:7" ht="14.25">
      <c r="B186" s="63" t="s">
        <v>307</v>
      </c>
      <c r="D186" s="63" t="s">
        <v>239</v>
      </c>
      <c r="G186" s="557">
        <v>-79.97371547214911</v>
      </c>
    </row>
    <row r="187" ht="14.25">
      <c r="A187" s="216"/>
    </row>
    <row r="188" spans="2:7" ht="14.25">
      <c r="B188" s="77" t="s">
        <v>729</v>
      </c>
      <c r="D188" s="63" t="s">
        <v>730</v>
      </c>
      <c r="G188" s="70">
        <v>2.824192655905353</v>
      </c>
    </row>
    <row r="189" spans="2:7" ht="14.25">
      <c r="B189" s="77" t="s">
        <v>731</v>
      </c>
      <c r="D189" s="132" t="s">
        <v>452</v>
      </c>
      <c r="G189" s="70">
        <v>6.411894324699668</v>
      </c>
    </row>
    <row r="190" spans="2:7" ht="14.25">
      <c r="B190" s="77" t="s">
        <v>109</v>
      </c>
      <c r="D190" s="132" t="s">
        <v>452</v>
      </c>
      <c r="G190" s="401">
        <v>21.372981082332203</v>
      </c>
    </row>
    <row r="191" spans="2:7" ht="14.25">
      <c r="B191" s="77" t="s">
        <v>409</v>
      </c>
      <c r="G191" s="63">
        <v>16.992611917555152</v>
      </c>
    </row>
    <row r="193" ht="14.25">
      <c r="B193" s="259" t="s">
        <v>412</v>
      </c>
    </row>
    <row r="194" spans="2:6" ht="14.25">
      <c r="B194" s="98" t="s">
        <v>696</v>
      </c>
      <c r="E194" s="563">
        <v>1.4209217817814224</v>
      </c>
      <c r="F194" s="563">
        <v>1.3777062114634042</v>
      </c>
    </row>
    <row r="195" ht="14.25">
      <c r="B195" s="69"/>
    </row>
    <row r="196" spans="2:4" ht="14.25">
      <c r="B196" s="63" t="s">
        <v>693</v>
      </c>
      <c r="D196" s="563">
        <v>1161.4584899021247</v>
      </c>
    </row>
    <row r="197" spans="2:4" ht="14.25">
      <c r="B197" s="63" t="s">
        <v>694</v>
      </c>
      <c r="D197" s="563">
        <v>10.02688478442461</v>
      </c>
    </row>
    <row r="199" spans="2:11" ht="14.25">
      <c r="B199" s="63" t="s">
        <v>241</v>
      </c>
      <c r="D199" s="63" t="s">
        <v>242</v>
      </c>
      <c r="E199" s="563">
        <v>1147.1341366889658</v>
      </c>
      <c r="H199" s="70"/>
      <c r="I199" s="70"/>
      <c r="J199" s="70"/>
      <c r="K199" s="70"/>
    </row>
    <row r="200" spans="2:11" ht="14.25">
      <c r="B200" s="63" t="s">
        <v>243</v>
      </c>
      <c r="D200" s="63" t="s">
        <v>248</v>
      </c>
      <c r="E200" s="563">
        <v>1157.3279599616371</v>
      </c>
      <c r="H200" s="70"/>
      <c r="I200" s="70"/>
      <c r="J200" s="70"/>
      <c r="K200" s="70"/>
    </row>
    <row r="201" spans="2:11" ht="14.25">
      <c r="B201" s="63" t="s">
        <v>249</v>
      </c>
      <c r="D201" s="63" t="s">
        <v>250</v>
      </c>
      <c r="E201" s="563">
        <v>1161.4584899021247</v>
      </c>
      <c r="H201" s="70"/>
      <c r="I201" s="70"/>
      <c r="J201" s="70"/>
      <c r="K201" s="70"/>
    </row>
    <row r="202" spans="2:11" ht="14.25">
      <c r="B202" s="63" t="s">
        <v>251</v>
      </c>
      <c r="D202" s="63" t="s">
        <v>252</v>
      </c>
      <c r="E202" s="563">
        <v>-120.075595760558</v>
      </c>
      <c r="H202" s="70"/>
      <c r="I202" s="70"/>
      <c r="J202" s="70"/>
      <c r="K202" s="70"/>
    </row>
    <row r="203" spans="2:11" ht="14.25">
      <c r="B203" s="63" t="s">
        <v>253</v>
      </c>
      <c r="D203" s="63" t="s">
        <v>254</v>
      </c>
      <c r="E203" s="563">
        <v>108.52690830724399</v>
      </c>
      <c r="H203" s="70"/>
      <c r="I203" s="70"/>
      <c r="J203" s="70"/>
      <c r="K203" s="70"/>
    </row>
    <row r="204" spans="2:11" ht="14.25">
      <c r="B204" s="63" t="s">
        <v>255</v>
      </c>
      <c r="D204" s="63" t="s">
        <v>256</v>
      </c>
      <c r="E204" s="563">
        <v>-2.7756657598451926</v>
      </c>
      <c r="H204" s="70"/>
      <c r="I204" s="70"/>
      <c r="J204" s="70"/>
      <c r="K204" s="70"/>
    </row>
    <row r="205" spans="2:11" ht="14.25">
      <c r="B205" s="63" t="s">
        <v>257</v>
      </c>
      <c r="D205" s="63" t="s">
        <v>260</v>
      </c>
      <c r="E205" s="563">
        <v>1269.9853982093687</v>
      </c>
      <c r="H205" s="70"/>
      <c r="I205" s="70"/>
      <c r="J205" s="70"/>
      <c r="K205" s="70"/>
    </row>
    <row r="206" spans="2:11" ht="14.25">
      <c r="B206" s="63" t="s">
        <v>261</v>
      </c>
      <c r="D206" s="63" t="s">
        <v>262</v>
      </c>
      <c r="E206" s="563">
        <v>-163.43209651169988</v>
      </c>
      <c r="H206" s="70"/>
      <c r="I206" s="70"/>
      <c r="J206" s="70"/>
      <c r="K206" s="70"/>
    </row>
    <row r="207" spans="2:11" ht="14.25">
      <c r="B207" s="63" t="s">
        <v>263</v>
      </c>
      <c r="D207" s="63" t="s">
        <v>264</v>
      </c>
      <c r="E207" s="563">
        <v>32.0226913781954</v>
      </c>
      <c r="H207" s="70"/>
      <c r="I207" s="70"/>
      <c r="J207" s="70"/>
      <c r="K207" s="70"/>
    </row>
    <row r="208" spans="2:11" ht="14.25">
      <c r="B208" s="63" t="s">
        <v>265</v>
      </c>
      <c r="D208" s="63" t="s">
        <v>266</v>
      </c>
      <c r="E208" s="563">
        <v>27.62732129105571</v>
      </c>
      <c r="H208" s="70"/>
      <c r="I208" s="70"/>
      <c r="J208" s="70"/>
      <c r="K208" s="70"/>
    </row>
    <row r="209" spans="2:11" ht="14.25">
      <c r="B209" s="63" t="s">
        <v>267</v>
      </c>
      <c r="D209" s="63" t="s">
        <v>268</v>
      </c>
      <c r="G209" s="563">
        <v>-2.876844702046818</v>
      </c>
      <c r="H209" s="563">
        <v>-9.888646794128459</v>
      </c>
      <c r="I209" s="563">
        <v>-14.861829794880435</v>
      </c>
      <c r="J209" s="563">
        <v>-19.75024909266906</v>
      </c>
      <c r="K209" s="563">
        <v>-24.475283249030696</v>
      </c>
    </row>
    <row r="210" spans="2:11" ht="14.25">
      <c r="B210" s="63" t="s">
        <v>269</v>
      </c>
      <c r="D210" s="63" t="s">
        <v>270</v>
      </c>
      <c r="E210" s="563">
        <v>-0.3476074710716021</v>
      </c>
      <c r="H210" s="70"/>
      <c r="I210" s="70"/>
      <c r="J210" s="70"/>
      <c r="K210" s="70"/>
    </row>
    <row r="211" spans="2:11" ht="14.25">
      <c r="B211" s="63" t="s">
        <v>271</v>
      </c>
      <c r="D211" s="63" t="s">
        <v>272</v>
      </c>
      <c r="E211" s="563">
        <v>11.237717267805195</v>
      </c>
      <c r="H211" s="70"/>
      <c r="I211" s="70"/>
      <c r="J211" s="70"/>
      <c r="K211" s="70"/>
    </row>
    <row r="212" spans="2:11" ht="14.25">
      <c r="B212" s="63" t="s">
        <v>273</v>
      </c>
      <c r="D212" s="63" t="s">
        <v>274</v>
      </c>
      <c r="E212" s="563">
        <v>-1.043893995133598</v>
      </c>
      <c r="H212" s="70"/>
      <c r="I212" s="70"/>
      <c r="J212" s="70"/>
      <c r="K212" s="70"/>
    </row>
    <row r="213" spans="2:11" ht="14.25">
      <c r="B213" s="63" t="s">
        <v>275</v>
      </c>
      <c r="D213" s="63" t="s">
        <v>282</v>
      </c>
      <c r="E213" s="563">
        <v>-0.36099500348114716</v>
      </c>
      <c r="H213" s="70"/>
      <c r="I213" s="70"/>
      <c r="J213" s="70"/>
      <c r="K213" s="70"/>
    </row>
    <row r="214" spans="2:11" ht="14.25">
      <c r="B214" s="63" t="s">
        <v>576</v>
      </c>
      <c r="D214" s="63" t="s">
        <v>283</v>
      </c>
      <c r="G214" s="563">
        <v>1.28609736979834</v>
      </c>
      <c r="H214" s="70"/>
      <c r="I214" s="70"/>
      <c r="J214" s="70"/>
      <c r="K214" s="70"/>
    </row>
    <row r="216" spans="2:4" ht="14.25">
      <c r="B216" s="259" t="s">
        <v>413</v>
      </c>
      <c r="C216" s="77"/>
      <c r="D216" s="77"/>
    </row>
    <row r="217" spans="2:11" ht="14.25">
      <c r="B217" s="63" t="s">
        <v>241</v>
      </c>
      <c r="D217" s="77" t="s">
        <v>284</v>
      </c>
      <c r="E217" s="563">
        <v>1131.6299157953906</v>
      </c>
      <c r="H217" s="70"/>
      <c r="I217" s="70"/>
      <c r="J217" s="70"/>
      <c r="K217" s="70"/>
    </row>
    <row r="218" spans="2:11" ht="14.25">
      <c r="B218" s="63" t="s">
        <v>243</v>
      </c>
      <c r="D218" s="77" t="s">
        <v>285</v>
      </c>
      <c r="E218" s="563">
        <v>1141.6859632991138</v>
      </c>
      <c r="H218" s="70"/>
      <c r="I218" s="70"/>
      <c r="J218" s="70"/>
      <c r="K218" s="70"/>
    </row>
    <row r="219" spans="2:11" ht="14.25">
      <c r="B219" s="63" t="s">
        <v>286</v>
      </c>
      <c r="D219" s="77" t="s">
        <v>287</v>
      </c>
      <c r="E219" s="563">
        <v>1168.5969750680895</v>
      </c>
      <c r="H219" s="70"/>
      <c r="I219" s="70"/>
      <c r="J219" s="70"/>
      <c r="K219" s="70"/>
    </row>
    <row r="220" spans="2:11" ht="14.25">
      <c r="B220" s="63" t="s">
        <v>249</v>
      </c>
      <c r="D220" s="77" t="s">
        <v>288</v>
      </c>
      <c r="E220" s="563">
        <v>1145.760666596006</v>
      </c>
      <c r="H220" s="70"/>
      <c r="I220" s="70"/>
      <c r="J220" s="70"/>
      <c r="K220" s="70"/>
    </row>
    <row r="221" spans="2:11" ht="14.25">
      <c r="B221" s="63" t="s">
        <v>251</v>
      </c>
      <c r="D221" s="77" t="s">
        <v>289</v>
      </c>
      <c r="E221" s="563">
        <v>-118.45270049394799</v>
      </c>
      <c r="H221" s="70"/>
      <c r="I221" s="70"/>
      <c r="J221" s="70"/>
      <c r="K221" s="70"/>
    </row>
    <row r="222" spans="2:11" ht="14.25">
      <c r="B222" s="63" t="s">
        <v>253</v>
      </c>
      <c r="D222" s="77" t="s">
        <v>290</v>
      </c>
      <c r="E222" s="563">
        <v>107.06010062933034</v>
      </c>
      <c r="H222" s="70"/>
      <c r="I222" s="70"/>
      <c r="J222" s="70"/>
      <c r="K222" s="70"/>
    </row>
    <row r="223" spans="2:11" ht="14.25">
      <c r="B223" s="63" t="s">
        <v>255</v>
      </c>
      <c r="D223" s="77" t="s">
        <v>291</v>
      </c>
      <c r="E223" s="563">
        <v>-2.7381509359976666</v>
      </c>
      <c r="H223" s="70"/>
      <c r="I223" s="70"/>
      <c r="J223" s="70"/>
      <c r="K223" s="70"/>
    </row>
    <row r="224" spans="2:11" ht="14.25">
      <c r="B224" s="63" t="s">
        <v>265</v>
      </c>
      <c r="D224" s="77" t="s">
        <v>292</v>
      </c>
      <c r="E224" s="563">
        <v>27.253921112040352</v>
      </c>
      <c r="H224" s="70"/>
      <c r="I224" s="70"/>
      <c r="J224" s="70"/>
      <c r="K224" s="70"/>
    </row>
    <row r="225" spans="2:11" ht="14.25">
      <c r="B225" s="121" t="s">
        <v>293</v>
      </c>
      <c r="D225" s="77" t="s">
        <v>294</v>
      </c>
      <c r="G225" s="563">
        <v>-3.0520665330233947</v>
      </c>
      <c r="H225" s="563">
        <v>-10.753214490052205</v>
      </c>
      <c r="I225" s="563">
        <v>-16.565234657156157</v>
      </c>
      <c r="J225" s="563">
        <v>-22.564294111469465</v>
      </c>
      <c r="K225" s="563">
        <v>-28.661622153671136</v>
      </c>
    </row>
    <row r="226" spans="2:11" ht="14.25">
      <c r="B226" s="63" t="s">
        <v>269</v>
      </c>
      <c r="D226" s="77" t="s">
        <v>295</v>
      </c>
      <c r="E226" s="563">
        <v>-0.3429093430642649</v>
      </c>
      <c r="H226" s="70"/>
      <c r="I226" s="70"/>
      <c r="J226" s="70"/>
      <c r="K226" s="70"/>
    </row>
    <row r="227" spans="2:11" ht="14.25">
      <c r="B227" s="77" t="s">
        <v>271</v>
      </c>
      <c r="D227" s="77" t="s">
        <v>18</v>
      </c>
      <c r="E227" s="563">
        <v>11.085832631748172</v>
      </c>
      <c r="H227" s="172"/>
      <c r="I227" s="172"/>
      <c r="J227" s="172"/>
      <c r="K227" s="172"/>
    </row>
    <row r="228" spans="2:11" ht="14.25">
      <c r="B228" s="77" t="s">
        <v>273</v>
      </c>
      <c r="D228" s="77" t="s">
        <v>19</v>
      </c>
      <c r="E228" s="563">
        <v>-1.0297851280252206</v>
      </c>
      <c r="H228" s="70"/>
      <c r="I228" s="70"/>
      <c r="J228" s="70"/>
      <c r="K228" s="70"/>
    </row>
    <row r="229" spans="2:11" ht="14.25">
      <c r="B229" s="77" t="s">
        <v>275</v>
      </c>
      <c r="D229" s="77" t="s">
        <v>22</v>
      </c>
      <c r="E229" s="563">
        <v>-0.3645281222040479</v>
      </c>
      <c r="H229" s="70"/>
      <c r="I229" s="70"/>
      <c r="J229" s="70"/>
      <c r="K229" s="70"/>
    </row>
    <row r="231" ht="14.25">
      <c r="B231" s="216" t="s">
        <v>169</v>
      </c>
    </row>
    <row r="232" spans="2:7" ht="14.25">
      <c r="B232" s="77" t="s">
        <v>107</v>
      </c>
      <c r="G232" s="70">
        <v>-5.0657081513784235</v>
      </c>
    </row>
    <row r="233" spans="2:7" ht="14.25">
      <c r="B233" s="63" t="s">
        <v>26</v>
      </c>
      <c r="G233" s="70">
        <v>2.824192655905353</v>
      </c>
    </row>
    <row r="234" spans="2:7" ht="14.25">
      <c r="B234" s="63" t="s">
        <v>140</v>
      </c>
      <c r="G234" s="70">
        <v>38.580528578647645</v>
      </c>
    </row>
    <row r="235" spans="2:7" ht="14.25">
      <c r="B235" s="69"/>
      <c r="G235" s="70"/>
    </row>
    <row r="236" spans="2:7" ht="14.25">
      <c r="B236" s="63" t="s">
        <v>245</v>
      </c>
      <c r="G236" s="70">
        <v>1.2860973697983376</v>
      </c>
    </row>
    <row r="237" spans="2:7" ht="14.25">
      <c r="B237" s="63" t="s">
        <v>246</v>
      </c>
      <c r="G237" s="70">
        <v>1.2686195205667254</v>
      </c>
    </row>
    <row r="238" ht="14.25">
      <c r="G238" s="70"/>
    </row>
    <row r="239" ht="14.25">
      <c r="G239" s="70"/>
    </row>
    <row r="240" spans="1:2" ht="14.25">
      <c r="A240" s="216"/>
      <c r="B240" s="216" t="s">
        <v>173</v>
      </c>
    </row>
    <row r="241" spans="2:13" ht="38.25">
      <c r="B241" s="34"/>
      <c r="C241" s="77"/>
      <c r="D241" s="77"/>
      <c r="E241" s="263" t="s">
        <v>382</v>
      </c>
      <c r="F241" s="35" t="s">
        <v>685</v>
      </c>
      <c r="G241" s="35" t="s">
        <v>686</v>
      </c>
      <c r="H241" s="35" t="s">
        <v>687</v>
      </c>
      <c r="I241" s="35" t="s">
        <v>689</v>
      </c>
      <c r="J241" s="35" t="s">
        <v>690</v>
      </c>
      <c r="K241" s="35" t="s">
        <v>691</v>
      </c>
      <c r="L241" s="36" t="s">
        <v>692</v>
      </c>
      <c r="M241" s="34" t="s">
        <v>698</v>
      </c>
    </row>
    <row r="242" spans="2:13" ht="14.25">
      <c r="B242" s="498" t="s">
        <v>172</v>
      </c>
      <c r="C242" s="77"/>
      <c r="D242" s="77"/>
      <c r="E242" s="51"/>
      <c r="F242" s="37"/>
      <c r="G242" s="37"/>
      <c r="H242" s="38"/>
      <c r="I242" s="39"/>
      <c r="J242" s="38"/>
      <c r="K242" s="38"/>
      <c r="L242" s="38"/>
      <c r="M242" s="40"/>
    </row>
    <row r="243" spans="2:13" ht="14.25">
      <c r="B243" s="41" t="s">
        <v>377</v>
      </c>
      <c r="C243" s="77"/>
      <c r="D243" s="77"/>
      <c r="E243" s="42"/>
      <c r="F243" s="42"/>
      <c r="G243" s="52">
        <v>27.6</v>
      </c>
      <c r="H243" s="52">
        <v>41.794160127703385</v>
      </c>
      <c r="I243" s="52">
        <v>36.958382775840654</v>
      </c>
      <c r="J243" s="52">
        <v>7.576844271136332</v>
      </c>
      <c r="K243" s="52">
        <v>8.243309060138433</v>
      </c>
      <c r="L243" s="52">
        <v>20.788078979944785</v>
      </c>
      <c r="M243" s="52">
        <v>115.36077521476359</v>
      </c>
    </row>
    <row r="244" spans="2:13" ht="14.25">
      <c r="B244" s="43" t="s">
        <v>170</v>
      </c>
      <c r="C244" s="77"/>
      <c r="D244" s="77"/>
      <c r="E244" s="42"/>
      <c r="F244" s="42"/>
      <c r="G244" s="52">
        <v>16.52884040390223</v>
      </c>
      <c r="H244" s="52">
        <v>17.397715667764665</v>
      </c>
      <c r="I244" s="52">
        <v>15.639777187211774</v>
      </c>
      <c r="J244" s="52">
        <v>18.11635600417688</v>
      </c>
      <c r="K244" s="52">
        <v>22.634415411694327</v>
      </c>
      <c r="L244" s="52">
        <v>17.81680162615806</v>
      </c>
      <c r="M244" s="52">
        <v>91.60506589700572</v>
      </c>
    </row>
    <row r="245" spans="2:13" ht="14.25">
      <c r="B245" s="45" t="s">
        <v>699</v>
      </c>
      <c r="C245" s="77"/>
      <c r="D245" s="77"/>
      <c r="E245" s="53">
        <v>0</v>
      </c>
      <c r="F245" s="53">
        <v>0</v>
      </c>
      <c r="G245" s="53">
        <v>44.12884040390223</v>
      </c>
      <c r="H245" s="53">
        <v>59.19187579546806</v>
      </c>
      <c r="I245" s="53">
        <v>52.598159963052424</v>
      </c>
      <c r="J245" s="53">
        <v>25.693200275313217</v>
      </c>
      <c r="K245" s="53">
        <v>30.877724471832757</v>
      </c>
      <c r="L245" s="53">
        <v>38.60488060610285</v>
      </c>
      <c r="M245" s="53">
        <v>206.9658411117693</v>
      </c>
    </row>
    <row r="246" spans="2:13" ht="14.25">
      <c r="B246" s="46"/>
      <c r="C246" s="77"/>
      <c r="D246" s="77"/>
      <c r="E246" s="47"/>
      <c r="F246" s="47"/>
      <c r="G246" s="52"/>
      <c r="H246" s="52"/>
      <c r="I246" s="52"/>
      <c r="J246" s="52"/>
      <c r="K246" s="52"/>
      <c r="L246" s="52"/>
      <c r="M246" s="52"/>
    </row>
    <row r="247" spans="2:13" ht="14.25">
      <c r="B247" s="50" t="s">
        <v>174</v>
      </c>
      <c r="C247" s="77"/>
      <c r="D247" s="77"/>
      <c r="E247" s="51"/>
      <c r="F247" s="48"/>
      <c r="G247" s="52"/>
      <c r="H247" s="52"/>
      <c r="I247" s="52"/>
      <c r="J247" s="52"/>
      <c r="K247" s="52"/>
      <c r="L247" s="52"/>
      <c r="M247" s="52"/>
    </row>
    <row r="248" spans="2:13" ht="14.25">
      <c r="B248" s="496" t="s">
        <v>171</v>
      </c>
      <c r="C248" s="77"/>
      <c r="D248" s="77"/>
      <c r="E248" s="52"/>
      <c r="F248" s="52"/>
      <c r="G248" s="52">
        <v>46.23664308566465</v>
      </c>
      <c r="H248" s="52">
        <v>93.29809795344009</v>
      </c>
      <c r="I248" s="52">
        <v>81.70777961534789</v>
      </c>
      <c r="J248" s="52">
        <v>84.12633534411805</v>
      </c>
      <c r="K248" s="52">
        <v>85.04025632932039</v>
      </c>
      <c r="L248" s="52">
        <v>80.47308076442303</v>
      </c>
      <c r="M248" s="52">
        <v>424.6455500066494</v>
      </c>
    </row>
    <row r="249" spans="2:13" ht="14.25">
      <c r="B249" s="497" t="s">
        <v>176</v>
      </c>
      <c r="C249" s="77"/>
      <c r="D249" s="77"/>
      <c r="E249" s="52"/>
      <c r="F249" s="52"/>
      <c r="G249" s="52">
        <v>-1.475613340429535</v>
      </c>
      <c r="H249" s="52">
        <v>0.08530144251529741</v>
      </c>
      <c r="I249" s="52">
        <v>0.08400788238479688</v>
      </c>
      <c r="J249" s="52">
        <v>0.08273961166244329</v>
      </c>
      <c r="K249" s="52">
        <v>0.1565095398262637</v>
      </c>
      <c r="L249" s="52">
        <v>0.1541679381292327</v>
      </c>
      <c r="M249" s="52">
        <v>0.562726414518034</v>
      </c>
    </row>
    <row r="250" spans="2:13" ht="14.25">
      <c r="B250" s="497" t="s">
        <v>177</v>
      </c>
      <c r="C250" s="77"/>
      <c r="D250" s="77"/>
      <c r="E250" s="52"/>
      <c r="F250" s="52"/>
      <c r="G250" s="52">
        <v>0</v>
      </c>
      <c r="H250" s="52">
        <v>4.968249999999999</v>
      </c>
      <c r="I250" s="52">
        <v>5.367750000000001</v>
      </c>
      <c r="J250" s="52">
        <v>6.010208333333333</v>
      </c>
      <c r="K250" s="52">
        <v>6.724208333333333</v>
      </c>
      <c r="L250" s="52">
        <v>6.816291666666666</v>
      </c>
      <c r="M250" s="52">
        <v>29.88670833333333</v>
      </c>
    </row>
    <row r="251" spans="2:13" ht="14.25">
      <c r="B251" s="49" t="s">
        <v>530</v>
      </c>
      <c r="C251" s="77"/>
      <c r="D251" s="77"/>
      <c r="E251" s="54">
        <v>0</v>
      </c>
      <c r="F251" s="54">
        <v>0</v>
      </c>
      <c r="G251" s="53">
        <v>44.76102974523512</v>
      </c>
      <c r="H251" s="53">
        <v>98.35164939595539</v>
      </c>
      <c r="I251" s="53">
        <v>87.15953749773269</v>
      </c>
      <c r="J251" s="53">
        <v>90.21928328911383</v>
      </c>
      <c r="K251" s="53">
        <v>91.92097420247998</v>
      </c>
      <c r="L251" s="53">
        <v>87.44354036921894</v>
      </c>
      <c r="M251" s="53">
        <v>455.09498475450073</v>
      </c>
    </row>
  </sheetData>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24">
    <pageSetUpPr fitToPage="1"/>
  </sheetPr>
  <dimension ref="A1:M251"/>
  <sheetViews>
    <sheetView zoomScale="70" zoomScaleNormal="70" workbookViewId="0" topLeftCell="A1">
      <pane xSplit="2" ySplit="1" topLeftCell="D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9.00390625" style="71" customWidth="1"/>
    <col min="2" max="2" width="48.00390625" style="63" customWidth="1"/>
    <col min="3" max="3" width="9.00390625" style="63" hidden="1" customWidth="1"/>
    <col min="4" max="4" width="9.00390625" style="63" customWidth="1"/>
    <col min="5" max="5" width="11.00390625" style="63" bestFit="1" customWidth="1"/>
    <col min="6" max="6" width="10.375" style="63" bestFit="1" customWidth="1"/>
    <col min="7" max="16384" width="9.00390625" style="63" customWidth="1"/>
  </cols>
  <sheetData>
    <row r="1" spans="3:12" ht="14.25">
      <c r="C1" s="540"/>
      <c r="D1" s="540"/>
      <c r="E1" s="541" t="s">
        <v>76</v>
      </c>
      <c r="F1" s="541" t="s">
        <v>77</v>
      </c>
      <c r="G1" s="541" t="s">
        <v>91</v>
      </c>
      <c r="H1" s="541" t="s">
        <v>92</v>
      </c>
      <c r="I1" s="541" t="s">
        <v>93</v>
      </c>
      <c r="J1" s="541" t="s">
        <v>94</v>
      </c>
      <c r="K1" s="541" t="s">
        <v>95</v>
      </c>
      <c r="L1" s="541" t="s">
        <v>131</v>
      </c>
    </row>
    <row r="2" spans="1:12" ht="14.25">
      <c r="A2" s="216"/>
      <c r="C2" s="77"/>
      <c r="D2" s="542"/>
      <c r="E2" s="542"/>
      <c r="F2" s="542"/>
      <c r="G2" s="542"/>
      <c r="H2" s="542"/>
      <c r="I2" s="542"/>
      <c r="J2" s="542"/>
      <c r="K2" s="542"/>
      <c r="L2" s="543"/>
    </row>
    <row r="3" spans="1:12" ht="14.25">
      <c r="A3" s="216"/>
      <c r="B3" s="544" t="s">
        <v>429</v>
      </c>
      <c r="C3" s="545"/>
      <c r="D3" s="546"/>
      <c r="E3" s="546"/>
      <c r="F3" s="546"/>
      <c r="G3" s="542"/>
      <c r="H3" s="542"/>
      <c r="I3" s="547"/>
      <c r="J3" s="547"/>
      <c r="K3" s="542"/>
      <c r="L3" s="543"/>
    </row>
    <row r="4" spans="1:12" ht="14.25">
      <c r="A4" s="216" t="s">
        <v>534</v>
      </c>
      <c r="B4" s="548" t="s">
        <v>601</v>
      </c>
      <c r="C4" s="549"/>
      <c r="D4" s="546"/>
      <c r="E4" s="546">
        <v>270.6474277482376</v>
      </c>
      <c r="F4" s="546">
        <v>272.7054982247885</v>
      </c>
      <c r="G4" s="542"/>
      <c r="H4" s="542"/>
      <c r="I4" s="542"/>
      <c r="J4" s="542"/>
      <c r="K4" s="542"/>
      <c r="L4" s="542"/>
    </row>
    <row r="5" spans="1:12" ht="14.25">
      <c r="A5" s="216"/>
      <c r="B5" s="548" t="s">
        <v>600</v>
      </c>
      <c r="C5" s="545"/>
      <c r="D5" s="546"/>
      <c r="E5" s="546">
        <v>265.6183048719417</v>
      </c>
      <c r="F5" s="546">
        <v>260.9111500821536</v>
      </c>
      <c r="G5" s="542"/>
      <c r="H5" s="542"/>
      <c r="I5" s="542"/>
      <c r="J5" s="542"/>
      <c r="K5" s="542"/>
      <c r="L5" s="543"/>
    </row>
    <row r="6" spans="1:12" ht="14.25">
      <c r="A6" s="216"/>
      <c r="B6" s="544" t="s">
        <v>476</v>
      </c>
      <c r="C6" s="545"/>
      <c r="D6" s="546"/>
      <c r="E6" s="546">
        <v>-3.9516048641778596</v>
      </c>
      <c r="F6" s="546">
        <v>-3.881576498577332</v>
      </c>
      <c r="G6" s="542"/>
      <c r="H6" s="547"/>
      <c r="I6" s="547"/>
      <c r="J6" s="547"/>
      <c r="K6" s="542"/>
      <c r="L6" s="543"/>
    </row>
    <row r="7" spans="1:12" ht="14.25">
      <c r="A7" s="216"/>
      <c r="B7" s="544" t="s">
        <v>477</v>
      </c>
      <c r="C7" s="545"/>
      <c r="D7" s="546"/>
      <c r="E7" s="546">
        <v>0.9714998516904348</v>
      </c>
      <c r="F7" s="546">
        <v>0.9542834170686973</v>
      </c>
      <c r="G7" s="542"/>
      <c r="H7" s="547"/>
      <c r="I7" s="547"/>
      <c r="J7" s="542"/>
      <c r="K7" s="542"/>
      <c r="L7" s="543"/>
    </row>
    <row r="8" spans="1:12" ht="14.25">
      <c r="A8" s="216"/>
      <c r="B8" s="548" t="s">
        <v>478</v>
      </c>
      <c r="C8" s="545"/>
      <c r="D8" s="546"/>
      <c r="E8" s="546">
        <v>262.6381998594543</v>
      </c>
      <c r="F8" s="546">
        <v>257.983857000645</v>
      </c>
      <c r="G8" s="542"/>
      <c r="H8" s="542"/>
      <c r="I8" s="542"/>
      <c r="J8" s="542"/>
      <c r="K8" s="542"/>
      <c r="L8" s="543"/>
    </row>
    <row r="9" spans="1:12" ht="14.25">
      <c r="A9" s="121"/>
      <c r="B9" s="548" t="s">
        <v>66</v>
      </c>
      <c r="C9" s="549"/>
      <c r="D9" s="546"/>
      <c r="E9" s="546">
        <v>-83.496131249337</v>
      </c>
      <c r="F9" s="546">
        <v>-80.60374175537997</v>
      </c>
      <c r="G9" s="542"/>
      <c r="H9" s="542"/>
      <c r="I9" s="542"/>
      <c r="J9" s="542"/>
      <c r="K9" s="542"/>
      <c r="L9" s="542"/>
    </row>
    <row r="10" spans="1:12" ht="14.25">
      <c r="A10" s="121"/>
      <c r="B10" s="548" t="s">
        <v>479</v>
      </c>
      <c r="C10" s="549"/>
      <c r="D10" s="546"/>
      <c r="E10" s="546">
        <v>-79.54452638515914</v>
      </c>
      <c r="F10" s="546">
        <v>-76.72216525680264</v>
      </c>
      <c r="H10" s="542"/>
      <c r="I10" s="542"/>
      <c r="J10" s="542"/>
      <c r="K10" s="542"/>
      <c r="L10" s="542"/>
    </row>
    <row r="11" spans="1:12" ht="14.25">
      <c r="A11" s="121"/>
      <c r="B11" s="548" t="s">
        <v>67</v>
      </c>
      <c r="C11" s="549"/>
      <c r="D11" s="546"/>
      <c r="E11" s="546">
        <v>-24.717086345717927</v>
      </c>
      <c r="F11" s="546">
        <v>-26.131781179802765</v>
      </c>
      <c r="G11" s="542"/>
      <c r="H11" s="542"/>
      <c r="I11" s="542"/>
      <c r="J11" s="542"/>
      <c r="K11" s="542"/>
      <c r="L11" s="542"/>
    </row>
    <row r="12" spans="1:12" ht="14.25">
      <c r="A12" s="121"/>
      <c r="B12" s="548" t="s">
        <v>487</v>
      </c>
      <c r="C12" s="549"/>
      <c r="D12" s="546"/>
      <c r="E12" s="546">
        <v>-36.356326148702415</v>
      </c>
      <c r="F12" s="546">
        <v>-39.61463351029665</v>
      </c>
      <c r="G12" s="542"/>
      <c r="H12" s="542"/>
      <c r="I12" s="542"/>
      <c r="J12" s="542"/>
      <c r="K12" s="542"/>
      <c r="L12" s="542"/>
    </row>
    <row r="13" spans="1:12" ht="14.25">
      <c r="A13" s="550" t="s">
        <v>121</v>
      </c>
      <c r="B13" s="551"/>
      <c r="C13" s="549"/>
      <c r="D13" s="546"/>
      <c r="E13" s="546"/>
      <c r="F13" s="546"/>
      <c r="G13" s="542"/>
      <c r="H13" s="542"/>
      <c r="I13" s="542"/>
      <c r="J13" s="542"/>
      <c r="K13" s="542"/>
      <c r="L13" s="543"/>
    </row>
    <row r="14" spans="1:12" ht="14.25">
      <c r="A14" s="552"/>
      <c r="B14" s="545" t="s">
        <v>494</v>
      </c>
      <c r="C14" s="549"/>
      <c r="D14" s="546"/>
      <c r="E14" s="546">
        <v>10.050718874701648</v>
      </c>
      <c r="F14" s="546">
        <v>7.461232100778263</v>
      </c>
      <c r="G14" s="542"/>
      <c r="H14" s="542"/>
      <c r="I14" s="542"/>
      <c r="J14" s="542"/>
      <c r="K14" s="542"/>
      <c r="L14" s="543"/>
    </row>
    <row r="15" spans="1:12" ht="14.25">
      <c r="A15" s="552"/>
      <c r="B15" s="545" t="s">
        <v>493</v>
      </c>
      <c r="C15" s="549"/>
      <c r="D15" s="546"/>
      <c r="E15" s="546">
        <v>36.35632614870241</v>
      </c>
      <c r="F15" s="546">
        <v>39.614633510296656</v>
      </c>
      <c r="G15" s="542"/>
      <c r="H15" s="542"/>
      <c r="I15" s="542"/>
      <c r="J15" s="542"/>
      <c r="K15" s="542"/>
      <c r="L15" s="543"/>
    </row>
    <row r="16" spans="1:12" ht="14.25">
      <c r="A16" s="552"/>
      <c r="B16" s="545" t="s">
        <v>142</v>
      </c>
      <c r="C16" s="549"/>
      <c r="D16" s="546"/>
      <c r="E16" s="546">
        <v>72.71265229740482</v>
      </c>
      <c r="F16" s="546">
        <v>79.22926702059331</v>
      </c>
      <c r="G16" s="542"/>
      <c r="H16" s="542"/>
      <c r="I16" s="542"/>
      <c r="J16" s="542"/>
      <c r="K16" s="542"/>
      <c r="L16" s="543"/>
    </row>
    <row r="17" spans="1:12" ht="14.25">
      <c r="A17" s="121"/>
      <c r="B17" s="121"/>
      <c r="C17" s="553"/>
      <c r="D17" s="542"/>
      <c r="E17" s="542"/>
      <c r="F17" s="542"/>
      <c r="G17" s="542"/>
      <c r="H17" s="542"/>
      <c r="I17" s="542"/>
      <c r="J17" s="542"/>
      <c r="K17" s="542"/>
      <c r="L17" s="542"/>
    </row>
    <row r="18" spans="1:12" ht="14.25">
      <c r="A18" s="121"/>
      <c r="B18" s="554" t="s">
        <v>785</v>
      </c>
      <c r="C18" s="555"/>
      <c r="D18" s="556"/>
      <c r="E18" s="556">
        <v>246.82</v>
      </c>
      <c r="F18" s="556">
        <v>259.35477582846005</v>
      </c>
      <c r="G18" s="556">
        <v>314.35163527350267</v>
      </c>
      <c r="H18" s="542"/>
      <c r="I18" s="542"/>
      <c r="J18" s="542"/>
      <c r="K18" s="542"/>
      <c r="L18" s="542"/>
    </row>
    <row r="19" spans="1:7" ht="14.25">
      <c r="A19" s="121"/>
      <c r="B19" s="554" t="s">
        <v>153</v>
      </c>
      <c r="C19" s="555"/>
      <c r="D19" s="556"/>
      <c r="E19" s="556">
        <v>-93.7421641049996</v>
      </c>
      <c r="F19" s="556">
        <v>-100.9126081947414</v>
      </c>
      <c r="G19" s="556">
        <v>-106.61063555505075</v>
      </c>
    </row>
    <row r="20" spans="1:7" ht="14.25">
      <c r="A20" s="121"/>
      <c r="B20" s="554" t="s">
        <v>67</v>
      </c>
      <c r="C20" s="555"/>
      <c r="D20" s="556"/>
      <c r="E20" s="556">
        <v>-25.706</v>
      </c>
      <c r="F20" s="556">
        <v>-30.031189083820664</v>
      </c>
      <c r="G20" s="556">
        <v>-31.652664257568333</v>
      </c>
    </row>
    <row r="21" spans="1:12" ht="14.25">
      <c r="A21" s="121"/>
      <c r="B21" s="554"/>
      <c r="C21" s="555"/>
      <c r="D21" s="556"/>
      <c r="E21" s="556"/>
      <c r="F21" s="556"/>
      <c r="G21" s="556"/>
      <c r="H21" s="542"/>
      <c r="I21" s="542"/>
      <c r="J21" s="542"/>
      <c r="K21" s="542"/>
      <c r="L21" s="542"/>
    </row>
    <row r="22" spans="1:12" ht="14.25">
      <c r="A22" s="121"/>
      <c r="B22" s="554" t="s">
        <v>8</v>
      </c>
      <c r="C22" s="555"/>
      <c r="D22" s="556"/>
      <c r="E22" s="556">
        <v>-23.921009627148045</v>
      </c>
      <c r="F22" s="556">
        <v>-22.75740600249445</v>
      </c>
      <c r="G22" s="556">
        <v>-22.31449686298297</v>
      </c>
      <c r="H22" s="542"/>
      <c r="I22" s="542"/>
      <c r="J22" s="542"/>
      <c r="K22" s="542"/>
      <c r="L22" s="542"/>
    </row>
    <row r="23" spans="1:7" ht="14.25">
      <c r="A23" s="121"/>
      <c r="B23" s="554" t="s">
        <v>57</v>
      </c>
      <c r="C23" s="555"/>
      <c r="D23" s="556"/>
      <c r="E23" s="556">
        <v>-24.599991828883745</v>
      </c>
      <c r="F23" s="556">
        <v>-24.972496125349576</v>
      </c>
      <c r="G23" s="556">
        <v>-24.777949447090947</v>
      </c>
    </row>
    <row r="24" spans="1:7" ht="14.25">
      <c r="A24" s="121"/>
      <c r="B24" s="554" t="s">
        <v>727</v>
      </c>
      <c r="C24" s="555"/>
      <c r="D24" s="556"/>
      <c r="E24" s="556">
        <v>24.15266104991251</v>
      </c>
      <c r="F24" s="556">
        <v>22.762025128500007</v>
      </c>
      <c r="G24" s="556">
        <v>27.660978818847973</v>
      </c>
    </row>
    <row r="25" spans="1:12" ht="14.25">
      <c r="A25" s="121"/>
      <c r="B25" s="77" t="s">
        <v>350</v>
      </c>
      <c r="C25" s="553"/>
      <c r="D25" s="542"/>
      <c r="E25" s="542"/>
      <c r="F25" s="542"/>
      <c r="G25" s="557">
        <v>285.5</v>
      </c>
      <c r="H25" s="542"/>
      <c r="I25" s="542"/>
      <c r="J25" s="542"/>
      <c r="K25" s="542"/>
      <c r="L25" s="542"/>
    </row>
    <row r="26" spans="1:12" ht="14.25">
      <c r="A26" s="121"/>
      <c r="B26" s="77"/>
      <c r="C26" s="553"/>
      <c r="D26" s="542"/>
      <c r="E26" s="542"/>
      <c r="F26" s="542"/>
      <c r="G26" s="557"/>
      <c r="H26" s="542"/>
      <c r="I26" s="542"/>
      <c r="J26" s="542"/>
      <c r="K26" s="542"/>
      <c r="L26" s="542"/>
    </row>
    <row r="27" spans="1:12" ht="14.25">
      <c r="A27" s="121"/>
      <c r="B27" s="554" t="s">
        <v>586</v>
      </c>
      <c r="C27" s="555"/>
      <c r="D27" s="556"/>
      <c r="E27" s="556">
        <v>56.74017720581842</v>
      </c>
      <c r="F27" s="556">
        <v>63.66947317462856</v>
      </c>
      <c r="G27" s="556">
        <v>0</v>
      </c>
      <c r="H27" s="542"/>
      <c r="I27" s="542"/>
      <c r="J27" s="542"/>
      <c r="K27" s="542"/>
      <c r="L27" s="542"/>
    </row>
    <row r="28" spans="1:7" ht="14.25">
      <c r="A28" s="121"/>
      <c r="B28" s="554" t="s">
        <v>584</v>
      </c>
      <c r="C28" s="555"/>
      <c r="D28" s="556"/>
      <c r="E28" s="556">
        <v>44.60611297925618</v>
      </c>
      <c r="F28" s="556">
        <v>54.92160522327606</v>
      </c>
      <c r="G28" s="556">
        <v>55.97752695310854</v>
      </c>
    </row>
    <row r="29" spans="1:12" ht="14.25">
      <c r="A29" s="121"/>
      <c r="B29" s="554" t="s">
        <v>587</v>
      </c>
      <c r="C29" s="555"/>
      <c r="D29" s="556"/>
      <c r="E29" s="556">
        <v>15.971847533439057</v>
      </c>
      <c r="F29" s="556">
        <v>15.55911004513429</v>
      </c>
      <c r="G29" s="556">
        <v>0</v>
      </c>
      <c r="H29" s="542"/>
      <c r="I29" s="542"/>
      <c r="J29" s="542"/>
      <c r="K29" s="542"/>
      <c r="L29" s="542"/>
    </row>
    <row r="30" spans="1:7" ht="14.25">
      <c r="A30" s="121"/>
      <c r="B30" s="554" t="s">
        <v>585</v>
      </c>
      <c r="C30" s="555"/>
      <c r="D30" s="556"/>
      <c r="E30" s="556">
        <v>28.444890909018916</v>
      </c>
      <c r="F30" s="556">
        <v>31.53273266869041</v>
      </c>
      <c r="G30" s="556">
        <v>32.1265811928703</v>
      </c>
    </row>
    <row r="31" spans="1:12" ht="14.25">
      <c r="A31" s="121"/>
      <c r="B31" s="77" t="s">
        <v>482</v>
      </c>
      <c r="C31" s="553"/>
      <c r="D31" s="542"/>
      <c r="E31" s="542">
        <v>73.05100388827509</v>
      </c>
      <c r="F31" s="542">
        <v>86.45433789196647</v>
      </c>
      <c r="G31" s="542">
        <v>88.10410814597884</v>
      </c>
      <c r="H31" s="542"/>
      <c r="I31" s="542"/>
      <c r="J31" s="542"/>
      <c r="K31" s="542"/>
      <c r="L31" s="542"/>
    </row>
    <row r="32" spans="1:12" ht="14.25">
      <c r="A32" s="121"/>
      <c r="B32" s="559" t="s">
        <v>310</v>
      </c>
      <c r="C32" s="560"/>
      <c r="D32" s="561"/>
      <c r="E32" s="561">
        <v>44.606112979256174</v>
      </c>
      <c r="F32" s="561">
        <v>54.92160522327606</v>
      </c>
      <c r="G32" s="542"/>
      <c r="H32" s="542"/>
      <c r="I32" s="542"/>
      <c r="J32" s="542"/>
      <c r="K32" s="542"/>
      <c r="L32" s="542"/>
    </row>
    <row r="33" spans="1:12" ht="14.25">
      <c r="A33" s="121"/>
      <c r="B33" s="559" t="s">
        <v>311</v>
      </c>
      <c r="C33" s="560"/>
      <c r="D33" s="561"/>
      <c r="E33" s="561">
        <v>28.444890909018916</v>
      </c>
      <c r="F33" s="561">
        <v>31.53273266869041</v>
      </c>
      <c r="G33" s="542"/>
      <c r="H33" s="542"/>
      <c r="I33" s="542"/>
      <c r="J33" s="542"/>
      <c r="K33" s="542"/>
      <c r="L33" s="542"/>
    </row>
    <row r="34" spans="1:12" ht="14.25">
      <c r="A34" s="121"/>
      <c r="B34" s="77"/>
      <c r="C34" s="553"/>
      <c r="D34" s="542"/>
      <c r="E34" s="542"/>
      <c r="F34" s="542"/>
      <c r="G34" s="558"/>
      <c r="H34" s="542"/>
      <c r="I34" s="542"/>
      <c r="J34" s="542"/>
      <c r="K34" s="542"/>
      <c r="L34" s="542"/>
    </row>
    <row r="35" spans="1:12" ht="14.25">
      <c r="A35" s="121"/>
      <c r="B35" s="77"/>
      <c r="C35" s="553"/>
      <c r="D35" s="542"/>
      <c r="E35" s="542"/>
      <c r="F35" s="542"/>
      <c r="G35" s="558"/>
      <c r="H35" s="542"/>
      <c r="I35" s="542"/>
      <c r="J35" s="542"/>
      <c r="K35" s="542"/>
      <c r="L35" s="542"/>
    </row>
    <row r="36" spans="1:13" ht="14.25">
      <c r="A36" s="121"/>
      <c r="B36" s="216" t="s">
        <v>154</v>
      </c>
      <c r="C36" s="553"/>
      <c r="D36" s="542"/>
      <c r="E36" s="542"/>
      <c r="F36" s="542"/>
      <c r="G36" s="558"/>
      <c r="H36" s="542"/>
      <c r="I36" s="542"/>
      <c r="J36" s="542"/>
      <c r="K36" s="542"/>
      <c r="L36" s="542"/>
      <c r="M36" s="71"/>
    </row>
    <row r="37" spans="1:13" ht="14.25">
      <c r="A37" s="121"/>
      <c r="B37" s="71" t="s">
        <v>153</v>
      </c>
      <c r="C37" s="553"/>
      <c r="D37" s="542"/>
      <c r="E37" s="542"/>
      <c r="F37" s="542"/>
      <c r="G37" s="558"/>
      <c r="H37" s="557">
        <v>-90.08831249080195</v>
      </c>
      <c r="I37" s="557">
        <v>-89.3923926683615</v>
      </c>
      <c r="J37" s="557">
        <v>-88.07516768076798</v>
      </c>
      <c r="K37" s="557">
        <v>-85.95147728369531</v>
      </c>
      <c r="L37" s="557">
        <v>-86.19433550659156</v>
      </c>
      <c r="M37" s="71"/>
    </row>
    <row r="38" spans="1:13" ht="14.25">
      <c r="A38" s="121"/>
      <c r="B38" s="71" t="s">
        <v>727</v>
      </c>
      <c r="C38" s="553"/>
      <c r="D38" s="542"/>
      <c r="E38" s="542"/>
      <c r="F38" s="542"/>
      <c r="G38" s="558"/>
      <c r="H38" s="557">
        <v>24.544669807370163</v>
      </c>
      <c r="I38" s="557">
        <v>24.658155741580202</v>
      </c>
      <c r="J38" s="557">
        <v>29.297360270190026</v>
      </c>
      <c r="K38" s="557">
        <v>30.016890647383683</v>
      </c>
      <c r="L38" s="557">
        <v>27.829345518405894</v>
      </c>
      <c r="M38" s="71"/>
    </row>
    <row r="39" spans="1:13" ht="14.25">
      <c r="A39" s="121"/>
      <c r="B39" s="71" t="s">
        <v>155</v>
      </c>
      <c r="C39" s="553"/>
      <c r="D39" s="542"/>
      <c r="E39" s="542"/>
      <c r="F39" s="542"/>
      <c r="G39" s="558"/>
      <c r="H39" s="557">
        <v>67.51426063514023</v>
      </c>
      <c r="I39" s="557">
        <v>66.64876381555098</v>
      </c>
      <c r="J39" s="557">
        <v>65.20829233882338</v>
      </c>
      <c r="K39" s="557">
        <v>65.461282921677</v>
      </c>
      <c r="L39" s="557">
        <v>61.370056968075026</v>
      </c>
      <c r="M39" s="71"/>
    </row>
    <row r="40" spans="1:13" ht="14.25">
      <c r="A40" s="121"/>
      <c r="B40" s="71" t="s">
        <v>156</v>
      </c>
      <c r="C40" s="553"/>
      <c r="D40" s="542"/>
      <c r="E40" s="542"/>
      <c r="F40" s="542"/>
      <c r="G40" s="558"/>
      <c r="H40" s="557">
        <v>25.859465054484065</v>
      </c>
      <c r="I40" s="557">
        <v>25.602732952658236</v>
      </c>
      <c r="J40" s="557">
        <v>25.319461637930736</v>
      </c>
      <c r="K40" s="557">
        <v>25.348651082978968</v>
      </c>
      <c r="L40" s="557">
        <v>24.467259594131548</v>
      </c>
      <c r="M40" s="71"/>
    </row>
    <row r="41" spans="1:13" ht="14.25">
      <c r="A41" s="121"/>
      <c r="B41" s="71" t="s">
        <v>820</v>
      </c>
      <c r="C41" s="553"/>
      <c r="D41" s="542"/>
      <c r="E41" s="542"/>
      <c r="F41" s="542"/>
      <c r="G41" s="558"/>
      <c r="H41" s="557">
        <v>110.44074613887442</v>
      </c>
      <c r="I41" s="557">
        <v>108.56788748007884</v>
      </c>
      <c r="J41" s="557">
        <v>111.8880276104882</v>
      </c>
      <c r="K41" s="557">
        <v>114.8544987538576</v>
      </c>
      <c r="L41" s="557">
        <v>107.79229938543585</v>
      </c>
      <c r="M41" s="71"/>
    </row>
    <row r="42" spans="1:13" ht="14.25">
      <c r="A42" s="121"/>
      <c r="B42" s="63" t="s">
        <v>158</v>
      </c>
      <c r="C42" s="553"/>
      <c r="D42" s="542"/>
      <c r="E42" s="542"/>
      <c r="F42" s="542"/>
      <c r="G42" s="558"/>
      <c r="H42" s="557">
        <v>102.395675727997</v>
      </c>
      <c r="I42" s="557">
        <v>103.2859330214978</v>
      </c>
      <c r="J42" s="557">
        <v>102.16907323467659</v>
      </c>
      <c r="K42" s="557">
        <v>104.64333199518497</v>
      </c>
      <c r="L42" s="557">
        <v>100.806989436282</v>
      </c>
      <c r="M42" s="71"/>
    </row>
    <row r="43" spans="1:13" ht="14.25">
      <c r="A43" s="121"/>
      <c r="B43" s="63" t="s">
        <v>159</v>
      </c>
      <c r="C43" s="553"/>
      <c r="D43" s="542"/>
      <c r="E43" s="542"/>
      <c r="F43" s="542"/>
      <c r="G43" s="558"/>
      <c r="H43" s="557">
        <v>18.352425402410837</v>
      </c>
      <c r="I43" s="557">
        <v>19.131725074227745</v>
      </c>
      <c r="J43" s="557">
        <v>24.67328398187157</v>
      </c>
      <c r="K43" s="557">
        <v>27.76619633496062</v>
      </c>
      <c r="L43" s="557">
        <v>27.46958508</v>
      </c>
      <c r="M43" s="71"/>
    </row>
    <row r="44" spans="1:13" ht="14.25">
      <c r="A44" s="121"/>
      <c r="B44" s="63" t="s">
        <v>67</v>
      </c>
      <c r="C44" s="553"/>
      <c r="D44" s="542"/>
      <c r="E44" s="542"/>
      <c r="F44" s="542"/>
      <c r="G44" s="558"/>
      <c r="H44" s="557">
        <v>-31.652664257568333</v>
      </c>
      <c r="I44" s="557">
        <v>-31.652664257568333</v>
      </c>
      <c r="J44" s="557">
        <v>-31.652664257568333</v>
      </c>
      <c r="K44" s="557">
        <v>-31.652664257568333</v>
      </c>
      <c r="L44" s="557">
        <v>-31.652664257568333</v>
      </c>
      <c r="M44" s="71"/>
    </row>
    <row r="45" spans="1:13" ht="14.25">
      <c r="A45" s="121"/>
      <c r="B45" s="63" t="s">
        <v>57</v>
      </c>
      <c r="C45" s="553"/>
      <c r="D45" s="542"/>
      <c r="E45" s="542"/>
      <c r="F45" s="542"/>
      <c r="G45" s="558"/>
      <c r="H45" s="557">
        <v>-24.236444625005443</v>
      </c>
      <c r="I45" s="557">
        <v>-25.18542792543319</v>
      </c>
      <c r="J45" s="557">
        <v>-26.515628628285516</v>
      </c>
      <c r="K45" s="557">
        <v>-27.507270024140098</v>
      </c>
      <c r="L45" s="557">
        <v>-29.360156704411324</v>
      </c>
      <c r="M45" s="71"/>
    </row>
    <row r="46" spans="1:13" ht="14.25">
      <c r="A46" s="121"/>
      <c r="B46" s="71" t="s">
        <v>157</v>
      </c>
      <c r="C46" s="553"/>
      <c r="D46" s="542"/>
      <c r="E46" s="542"/>
      <c r="F46" s="542"/>
      <c r="G46" s="558"/>
      <c r="H46" s="557">
        <v>11.247161117090764</v>
      </c>
      <c r="I46" s="557">
        <v>11.247161117090764</v>
      </c>
      <c r="J46" s="557">
        <v>11.247161117090764</v>
      </c>
      <c r="K46" s="557">
        <v>11.247161117090764</v>
      </c>
      <c r="L46" s="557">
        <v>11.247161117090764</v>
      </c>
      <c r="M46" s="71"/>
    </row>
    <row r="47" spans="1:13" ht="14.25">
      <c r="A47" s="121"/>
      <c r="B47" s="71" t="s">
        <v>819</v>
      </c>
      <c r="C47" s="553"/>
      <c r="D47" s="542"/>
      <c r="E47" s="143"/>
      <c r="F47" s="143"/>
      <c r="G47" s="143"/>
      <c r="H47" s="510">
        <v>-20.990150254048842</v>
      </c>
      <c r="I47" s="510">
        <v>-19.790809254996315</v>
      </c>
      <c r="J47" s="510">
        <v>-20.38156727325479</v>
      </c>
      <c r="K47" s="510">
        <v>-20.932407406690274</v>
      </c>
      <c r="L47" s="510">
        <v>-20.543465524043366</v>
      </c>
      <c r="M47" s="71"/>
    </row>
    <row r="48" spans="1:13" ht="14.25">
      <c r="A48" s="121"/>
      <c r="B48" s="216"/>
      <c r="C48" s="553"/>
      <c r="D48" s="542"/>
      <c r="E48" s="542"/>
      <c r="F48" s="542"/>
      <c r="G48" s="558"/>
      <c r="H48" s="542"/>
      <c r="I48" s="542"/>
      <c r="J48" s="542"/>
      <c r="K48" s="542"/>
      <c r="L48" s="542"/>
      <c r="M48" s="71"/>
    </row>
    <row r="49" spans="1:12" ht="14.25">
      <c r="A49" s="121"/>
      <c r="B49" s="122" t="s">
        <v>419</v>
      </c>
      <c r="C49" s="553"/>
      <c r="D49" s="542"/>
      <c r="E49" s="542"/>
      <c r="F49" s="542"/>
      <c r="G49" s="542"/>
      <c r="H49" s="542"/>
      <c r="I49" s="542"/>
      <c r="J49" s="542"/>
      <c r="K49" s="542"/>
      <c r="L49" s="542"/>
    </row>
    <row r="50" spans="1:12" ht="14.25">
      <c r="A50" s="121"/>
      <c r="B50" s="77" t="s">
        <v>160</v>
      </c>
      <c r="C50" s="553"/>
      <c r="D50" s="542"/>
      <c r="E50" s="543">
        <v>19.134280660330283</v>
      </c>
      <c r="F50" s="543">
        <v>17.455413914872114</v>
      </c>
      <c r="G50" s="543">
        <v>14.061214803150126</v>
      </c>
      <c r="H50" s="543">
        <v>11.672048079789723</v>
      </c>
      <c r="I50" s="543">
        <v>9.231639315084843</v>
      </c>
      <c r="J50" s="543">
        <v>8.20419291957821</v>
      </c>
      <c r="K50" s="543">
        <v>7.791837565796623</v>
      </c>
      <c r="L50" s="543">
        <v>7.9027351689062</v>
      </c>
    </row>
    <row r="51" spans="1:12" ht="14.25">
      <c r="A51" s="121"/>
      <c r="B51" s="77"/>
      <c r="C51" s="553"/>
      <c r="D51" s="542"/>
      <c r="E51" s="542"/>
      <c r="F51" s="542"/>
      <c r="G51" s="542"/>
      <c r="H51" s="542"/>
      <c r="I51" s="542"/>
      <c r="J51" s="542"/>
      <c r="K51" s="542"/>
      <c r="L51" s="542"/>
    </row>
    <row r="52" spans="1:12" ht="14.25">
      <c r="A52" s="121"/>
      <c r="B52" s="77"/>
      <c r="C52" s="553"/>
      <c r="D52" s="542"/>
      <c r="E52" s="542"/>
      <c r="F52" s="542"/>
      <c r="G52" s="542"/>
      <c r="H52" s="542"/>
      <c r="I52" s="542"/>
      <c r="J52" s="542"/>
      <c r="K52" s="542"/>
      <c r="L52" s="542"/>
    </row>
    <row r="53" spans="1:12" ht="14.25">
      <c r="A53" s="121"/>
      <c r="B53" s="110" t="s">
        <v>161</v>
      </c>
      <c r="C53" s="553"/>
      <c r="D53" s="542"/>
      <c r="E53" s="542"/>
      <c r="F53" s="542"/>
      <c r="G53" s="542"/>
      <c r="H53" s="542"/>
      <c r="I53" s="542"/>
      <c r="J53" s="542"/>
      <c r="K53" s="542"/>
      <c r="L53" s="542"/>
    </row>
    <row r="54" spans="1:12" ht="14.25">
      <c r="A54" s="121"/>
      <c r="B54" s="545" t="s">
        <v>535</v>
      </c>
      <c r="C54" s="549"/>
      <c r="D54" s="546"/>
      <c r="E54" s="546">
        <v>6.584040161553633</v>
      </c>
      <c r="F54" s="546">
        <v>6.225210332646075</v>
      </c>
      <c r="G54" s="563">
        <v>11.247161117090764</v>
      </c>
      <c r="H54" s="542"/>
      <c r="I54" s="542"/>
      <c r="J54" s="542"/>
      <c r="K54" s="542"/>
      <c r="L54" s="542"/>
    </row>
    <row r="55" spans="1:12" ht="14.25">
      <c r="A55" s="121"/>
      <c r="B55" s="554" t="s">
        <v>536</v>
      </c>
      <c r="C55" s="555"/>
      <c r="D55" s="556"/>
      <c r="E55" s="556">
        <v>10.3</v>
      </c>
      <c r="F55" s="556">
        <v>11</v>
      </c>
      <c r="G55" s="542">
        <v>10.6</v>
      </c>
      <c r="H55" s="542"/>
      <c r="I55" s="542"/>
      <c r="J55" s="542"/>
      <c r="K55" s="542"/>
      <c r="L55" s="542"/>
    </row>
    <row r="56" spans="1:7" ht="14.25">
      <c r="A56" s="121"/>
      <c r="B56" s="564" t="s">
        <v>768</v>
      </c>
      <c r="C56" s="565"/>
      <c r="D56" s="566"/>
      <c r="E56" s="566">
        <v>10.273000000000001</v>
      </c>
      <c r="F56" s="566">
        <v>11.247161117090764</v>
      </c>
      <c r="G56" s="566">
        <v>11.247161117090764</v>
      </c>
    </row>
    <row r="57" spans="1:7" ht="14.25">
      <c r="A57" s="121"/>
      <c r="B57" s="545" t="s">
        <v>537</v>
      </c>
      <c r="C57" s="549"/>
      <c r="D57" s="546"/>
      <c r="E57" s="546">
        <v>2.771516711832007</v>
      </c>
      <c r="F57" s="546">
        <v>2.700955422676765</v>
      </c>
      <c r="G57" s="581">
        <v>8.58106834432312</v>
      </c>
    </row>
    <row r="58" spans="1:12" s="71" customFormat="1" ht="14.25">
      <c r="A58" s="121"/>
      <c r="B58" s="121"/>
      <c r="C58" s="562"/>
      <c r="D58" s="558"/>
      <c r="E58" s="558"/>
      <c r="F58" s="558"/>
      <c r="G58" s="172"/>
      <c r="H58" s="558"/>
      <c r="I58" s="558"/>
      <c r="J58" s="558"/>
      <c r="K58" s="558"/>
      <c r="L58" s="558"/>
    </row>
    <row r="59" spans="1:12" ht="14.25">
      <c r="A59" s="121"/>
      <c r="B59" s="554" t="s">
        <v>659</v>
      </c>
      <c r="C59" s="555"/>
      <c r="D59" s="556"/>
      <c r="E59" s="556">
        <v>5.879249760304164</v>
      </c>
      <c r="F59" s="556">
        <v>6.395890402440718</v>
      </c>
      <c r="G59" s="542">
        <v>6.574454792285841</v>
      </c>
      <c r="H59" s="542"/>
      <c r="I59" s="542"/>
      <c r="J59" s="542"/>
      <c r="K59" s="542"/>
      <c r="L59" s="542"/>
    </row>
    <row r="60" spans="1:12" ht="14.25">
      <c r="A60" s="121"/>
      <c r="B60" s="564" t="s">
        <v>300</v>
      </c>
      <c r="C60" s="565"/>
      <c r="D60" s="566"/>
      <c r="E60" s="567">
        <v>0.233</v>
      </c>
      <c r="F60" s="567">
        <v>0.32</v>
      </c>
      <c r="G60" s="567">
        <v>0.32</v>
      </c>
      <c r="H60" s="69"/>
      <c r="I60" s="542"/>
      <c r="J60" s="542"/>
      <c r="K60" s="542"/>
      <c r="L60" s="542"/>
    </row>
    <row r="61" spans="1:12" ht="14.25">
      <c r="A61" s="121"/>
      <c r="B61" s="77" t="s">
        <v>570</v>
      </c>
      <c r="C61" s="553"/>
      <c r="D61" s="542"/>
      <c r="E61" s="566">
        <v>5.446504400142</v>
      </c>
      <c r="F61" s="63">
        <v>0</v>
      </c>
      <c r="G61" s="542">
        <v>0.7330904543526142</v>
      </c>
      <c r="H61" s="542"/>
      <c r="I61" s="542"/>
      <c r="J61" s="542"/>
      <c r="K61" s="542"/>
      <c r="L61" s="542"/>
    </row>
    <row r="62" spans="1:12" ht="14.25">
      <c r="A62" s="121"/>
      <c r="B62" s="63" t="s">
        <v>431</v>
      </c>
      <c r="C62" s="553"/>
      <c r="D62" s="542"/>
      <c r="E62" s="542"/>
      <c r="F62" s="542"/>
      <c r="G62" s="566">
        <v>3.125073614309836</v>
      </c>
      <c r="H62" s="542"/>
      <c r="I62" s="542"/>
      <c r="J62" s="542"/>
      <c r="K62" s="542"/>
      <c r="L62" s="543"/>
    </row>
    <row r="63" spans="1:12" ht="14.25">
      <c r="A63" s="121"/>
      <c r="B63" s="63" t="s">
        <v>658</v>
      </c>
      <c r="C63" s="553"/>
      <c r="D63" s="542"/>
      <c r="E63" s="542">
        <v>5.0465177841136555</v>
      </c>
      <c r="F63" s="542">
        <v>6.766357800954184</v>
      </c>
      <c r="G63" s="542">
        <v>14.314716757350054</v>
      </c>
      <c r="H63" s="542"/>
      <c r="I63" s="542"/>
      <c r="J63" s="542"/>
      <c r="K63" s="542"/>
      <c r="L63" s="543"/>
    </row>
    <row r="64" spans="2:12" ht="14.25">
      <c r="B64" s="63" t="s">
        <v>661</v>
      </c>
      <c r="E64" s="70">
        <v>0.1226041069021879</v>
      </c>
      <c r="F64" s="70">
        <v>0.3535634066911737</v>
      </c>
      <c r="G64" s="70">
        <v>0.20157924469183458</v>
      </c>
      <c r="H64" s="542"/>
      <c r="I64" s="542"/>
      <c r="J64" s="542"/>
      <c r="K64" s="542"/>
      <c r="L64" s="543"/>
    </row>
    <row r="65" spans="1:12" ht="14.25">
      <c r="A65" s="121"/>
      <c r="B65" s="77" t="s">
        <v>495</v>
      </c>
      <c r="C65" s="77"/>
      <c r="D65" s="542">
        <v>1290.1377586984715</v>
      </c>
      <c r="E65" s="542"/>
      <c r="F65" s="542"/>
      <c r="G65" s="542"/>
      <c r="H65" s="542"/>
      <c r="I65" s="542"/>
      <c r="J65" s="542"/>
      <c r="K65" s="542"/>
      <c r="L65" s="543"/>
    </row>
    <row r="66" spans="2:7" ht="14.25">
      <c r="B66" s="63" t="s">
        <v>550</v>
      </c>
      <c r="E66" s="556">
        <v>-0.375</v>
      </c>
      <c r="F66" s="556">
        <v>-1.4619883040935673</v>
      </c>
      <c r="G66" s="556">
        <v>-0.09499599116917246</v>
      </c>
    </row>
    <row r="67" spans="2:7" ht="14.25">
      <c r="B67" s="63" t="s">
        <v>551</v>
      </c>
      <c r="E67" s="556">
        <v>0</v>
      </c>
      <c r="F67" s="556">
        <v>0</v>
      </c>
      <c r="G67" s="556">
        <v>0</v>
      </c>
    </row>
    <row r="68" ht="14.25"/>
    <row r="69" ht="14.25">
      <c r="B69" s="69"/>
    </row>
    <row r="70" spans="2:7" ht="14.25">
      <c r="B70" s="554" t="s">
        <v>785</v>
      </c>
      <c r="E70" s="568">
        <v>246.82</v>
      </c>
      <c r="F70" s="568">
        <v>259.35477582846005</v>
      </c>
      <c r="G70" s="568">
        <v>314.35163527350267</v>
      </c>
    </row>
    <row r="71" spans="2:7" ht="14.25">
      <c r="B71" s="554" t="s">
        <v>66</v>
      </c>
      <c r="E71" s="568">
        <v>-93.7421641049996</v>
      </c>
      <c r="F71" s="568">
        <v>-100.9126081947414</v>
      </c>
      <c r="G71" s="568">
        <v>-106.61063555505075</v>
      </c>
    </row>
    <row r="72" spans="2:12" ht="14.25">
      <c r="B72" s="554" t="s">
        <v>67</v>
      </c>
      <c r="E72" s="568">
        <v>-25.706</v>
      </c>
      <c r="F72" s="568">
        <v>-30.031189083820664</v>
      </c>
      <c r="G72" s="568">
        <v>-31.652664257568333</v>
      </c>
      <c r="H72" s="569"/>
      <c r="I72" s="569"/>
      <c r="J72" s="569"/>
      <c r="K72" s="569"/>
      <c r="L72" s="569"/>
    </row>
    <row r="73" spans="2:12" ht="14.25">
      <c r="B73" s="554" t="s">
        <v>8</v>
      </c>
      <c r="E73" s="568">
        <v>-24.645587069999998</v>
      </c>
      <c r="F73" s="568">
        <v>-23.837478684567056</v>
      </c>
      <c r="G73" s="568">
        <v>-23.684297473056528</v>
      </c>
      <c r="H73" s="71"/>
      <c r="I73" s="71"/>
      <c r="J73" s="71"/>
      <c r="K73" s="71"/>
      <c r="L73" s="71"/>
    </row>
    <row r="74" spans="2:12" ht="14.25">
      <c r="B74" s="554" t="s">
        <v>754</v>
      </c>
      <c r="E74" s="568">
        <v>-3.6381847200418616</v>
      </c>
      <c r="F74" s="568">
        <v>-6.765167956521339</v>
      </c>
      <c r="G74" s="568">
        <v>-3.721677172941302</v>
      </c>
      <c r="H74" s="71"/>
      <c r="I74" s="71"/>
      <c r="J74" s="71"/>
      <c r="K74" s="71"/>
      <c r="L74" s="71"/>
    </row>
    <row r="75" spans="2:12" ht="14.25">
      <c r="B75" s="554" t="s">
        <v>57</v>
      </c>
      <c r="E75" s="568">
        <v>-24.599991828883745</v>
      </c>
      <c r="F75" s="568">
        <v>-24.972496125349576</v>
      </c>
      <c r="G75" s="568">
        <v>-24.77794944709095</v>
      </c>
      <c r="H75" s="569"/>
      <c r="I75" s="569"/>
      <c r="J75" s="569"/>
      <c r="K75" s="569"/>
      <c r="L75" s="569"/>
    </row>
    <row r="76" spans="2:12" ht="14.25">
      <c r="B76" s="554" t="s">
        <v>162</v>
      </c>
      <c r="E76" s="568">
        <v>24.15266104991251</v>
      </c>
      <c r="F76" s="568">
        <v>22.762025128500007</v>
      </c>
      <c r="G76" s="568">
        <v>27.660978818847973</v>
      </c>
      <c r="H76" s="558"/>
      <c r="I76" s="558"/>
      <c r="J76" s="558"/>
      <c r="K76" s="558"/>
      <c r="L76" s="558"/>
    </row>
    <row r="77" spans="2:12" ht="14.25">
      <c r="B77" s="554" t="s">
        <v>586</v>
      </c>
      <c r="E77" s="568">
        <v>56.74017720581842</v>
      </c>
      <c r="F77" s="568">
        <v>63.66947317462856</v>
      </c>
      <c r="G77" s="568">
        <v>0</v>
      </c>
      <c r="H77" s="71"/>
      <c r="I77" s="71"/>
      <c r="J77" s="71"/>
      <c r="K77" s="71"/>
      <c r="L77" s="71"/>
    </row>
    <row r="78" spans="2:12" ht="14.25">
      <c r="B78" s="554" t="s">
        <v>584</v>
      </c>
      <c r="E78" s="568">
        <v>44.60611297925618</v>
      </c>
      <c r="F78" s="568">
        <v>54.92160522327606</v>
      </c>
      <c r="G78" s="568">
        <v>55.97752695310854</v>
      </c>
      <c r="H78" s="558"/>
      <c r="I78" s="558"/>
      <c r="J78" s="558"/>
      <c r="K78" s="558"/>
      <c r="L78" s="558"/>
    </row>
    <row r="79" spans="2:12" ht="14.25">
      <c r="B79" s="554" t="s">
        <v>587</v>
      </c>
      <c r="E79" s="568">
        <v>15.971847533439057</v>
      </c>
      <c r="F79" s="568">
        <v>15.55911004513429</v>
      </c>
      <c r="G79" s="568">
        <v>0</v>
      </c>
      <c r="H79" s="71"/>
      <c r="I79" s="71"/>
      <c r="J79" s="71"/>
      <c r="K79" s="71"/>
      <c r="L79" s="71"/>
    </row>
    <row r="80" spans="2:12" ht="14.25">
      <c r="B80" s="554" t="s">
        <v>585</v>
      </c>
      <c r="E80" s="568">
        <v>28.444890909018916</v>
      </c>
      <c r="F80" s="568">
        <v>31.53273266869041</v>
      </c>
      <c r="G80" s="568">
        <v>32.1265811928703</v>
      </c>
      <c r="H80" s="558"/>
      <c r="I80" s="558"/>
      <c r="J80" s="558"/>
      <c r="K80" s="558"/>
      <c r="L80" s="558"/>
    </row>
    <row r="81" spans="2:12" ht="14.25">
      <c r="B81" s="554" t="s">
        <v>588</v>
      </c>
      <c r="E81" s="568">
        <v>-0.375</v>
      </c>
      <c r="F81" s="568">
        <v>-1.4619883040935673</v>
      </c>
      <c r="G81" s="568">
        <v>-0.09499599116917246</v>
      </c>
      <c r="H81" s="71"/>
      <c r="I81" s="71"/>
      <c r="J81" s="71"/>
      <c r="K81" s="71"/>
      <c r="L81" s="71"/>
    </row>
    <row r="82" spans="2:12" ht="14.25">
      <c r="B82" s="554" t="s">
        <v>589</v>
      </c>
      <c r="E82" s="568">
        <v>0</v>
      </c>
      <c r="F82" s="568">
        <v>0</v>
      </c>
      <c r="G82" s="568">
        <v>0</v>
      </c>
      <c r="H82" s="71"/>
      <c r="I82" s="71"/>
      <c r="J82" s="71"/>
      <c r="K82" s="71"/>
      <c r="L82" s="71"/>
    </row>
    <row r="83" spans="2:12" ht="14.25">
      <c r="B83" s="554" t="s">
        <v>599</v>
      </c>
      <c r="E83" s="568">
        <v>10.3</v>
      </c>
      <c r="F83" s="568">
        <v>11</v>
      </c>
      <c r="G83" s="568">
        <v>10.6</v>
      </c>
      <c r="H83" s="569"/>
      <c r="I83" s="569"/>
      <c r="J83" s="569"/>
      <c r="K83" s="569"/>
      <c r="L83" s="569"/>
    </row>
    <row r="84" spans="2:12" ht="14.25">
      <c r="B84" s="554" t="s">
        <v>163</v>
      </c>
      <c r="E84" s="568">
        <v>2.443429756042666</v>
      </c>
      <c r="F84" s="568">
        <v>2.3812213800979714</v>
      </c>
      <c r="G84" s="568">
        <v>0</v>
      </c>
      <c r="H84" s="569"/>
      <c r="I84" s="569"/>
      <c r="J84" s="569"/>
      <c r="K84" s="569"/>
      <c r="L84" s="569"/>
    </row>
    <row r="85" spans="2:7" ht="14.25">
      <c r="B85" s="554" t="s">
        <v>607</v>
      </c>
      <c r="E85" s="568">
        <v>6.1288406495509244</v>
      </c>
      <c r="F85" s="568">
        <v>7.057596989074969</v>
      </c>
      <c r="G85" s="568">
        <v>7.257980790594326</v>
      </c>
    </row>
    <row r="86" spans="2:7" ht="14.25">
      <c r="B86" s="554" t="s">
        <v>481</v>
      </c>
      <c r="E86" s="70">
        <v>5.879249760304164</v>
      </c>
      <c r="F86" s="70">
        <v>6.395890402440718</v>
      </c>
      <c r="G86" s="70">
        <v>6.574454792285841</v>
      </c>
    </row>
    <row r="87" spans="2:7" ht="14.25">
      <c r="B87" s="554" t="s">
        <v>657</v>
      </c>
      <c r="E87" s="568">
        <v>5.0465177841136555</v>
      </c>
      <c r="F87" s="568">
        <v>6.766357800954184</v>
      </c>
      <c r="G87" s="568">
        <v>14.314716757350054</v>
      </c>
    </row>
    <row r="88" spans="2:7" ht="14.25">
      <c r="B88" s="63" t="s">
        <v>667</v>
      </c>
      <c r="E88" s="542">
        <v>0.1226041069021879</v>
      </c>
      <c r="F88" s="542">
        <v>0.3535634066911737</v>
      </c>
      <c r="G88" s="542">
        <v>0.20157924469183458</v>
      </c>
    </row>
    <row r="89" spans="5:7" ht="14.25">
      <c r="E89" s="542"/>
      <c r="F89" s="542"/>
      <c r="G89" s="542"/>
    </row>
    <row r="90" spans="5:7" ht="14.25">
      <c r="E90" s="542"/>
      <c r="F90" s="542"/>
      <c r="G90" s="542"/>
    </row>
    <row r="91" spans="2:7" ht="14.25">
      <c r="B91" s="69" t="s">
        <v>164</v>
      </c>
      <c r="E91" s="542"/>
      <c r="F91" s="542"/>
      <c r="G91" s="542"/>
    </row>
    <row r="92" spans="3:4" ht="14.25">
      <c r="C92" s="555"/>
      <c r="D92" s="556"/>
    </row>
    <row r="93" spans="2:7" ht="14.25">
      <c r="B93" s="554" t="s">
        <v>178</v>
      </c>
      <c r="C93" s="555"/>
      <c r="D93" s="556"/>
      <c r="E93" s="556">
        <v>-0.7396897435897437</v>
      </c>
      <c r="F93" s="556">
        <v>-0.9494301994301992</v>
      </c>
      <c r="G93" s="542">
        <v>-1.1623623119467994</v>
      </c>
    </row>
    <row r="94" spans="2:7" ht="14.25">
      <c r="B94" s="554" t="s">
        <v>179</v>
      </c>
      <c r="C94" s="555"/>
      <c r="D94" s="556"/>
      <c r="E94" s="556">
        <v>1.98</v>
      </c>
      <c r="F94" s="556">
        <v>-0.16335282651072092</v>
      </c>
      <c r="G94" s="542">
        <v>0.8874498896146541</v>
      </c>
    </row>
    <row r="95" spans="2:7" ht="14.25">
      <c r="B95" s="554" t="s">
        <v>180</v>
      </c>
      <c r="C95" s="555"/>
      <c r="D95" s="556"/>
      <c r="E95" s="556">
        <v>-4.24146697188673</v>
      </c>
      <c r="F95" s="556">
        <v>-4.287862513426424</v>
      </c>
      <c r="G95" s="542">
        <v>-3.446764750609157</v>
      </c>
    </row>
    <row r="96" spans="2:7" ht="14.25">
      <c r="B96" s="554" t="s">
        <v>192</v>
      </c>
      <c r="C96" s="555"/>
      <c r="D96" s="556"/>
      <c r="E96" s="556">
        <v>-0.255</v>
      </c>
      <c r="F96" s="556">
        <v>-1.4619883040935673</v>
      </c>
      <c r="G96" s="542">
        <v>-0.09499599116917246</v>
      </c>
    </row>
    <row r="97" spans="2:7" ht="14.25">
      <c r="B97" s="554" t="s">
        <v>149</v>
      </c>
      <c r="C97" s="555"/>
      <c r="D97" s="556"/>
      <c r="E97" s="556">
        <v>0.08333333333333334</v>
      </c>
      <c r="F97" s="556">
        <v>0.09746588693957116</v>
      </c>
      <c r="G97" s="542">
        <v>0.09499599116917268</v>
      </c>
    </row>
    <row r="98" spans="2:12" ht="25.5">
      <c r="B98" s="238" t="s">
        <v>231</v>
      </c>
      <c r="E98" s="570">
        <v>0.9592760028334154</v>
      </c>
      <c r="F98" s="570">
        <v>0.9062419421711723</v>
      </c>
      <c r="G98" s="570">
        <v>0.9058242205333098</v>
      </c>
      <c r="H98" s="557">
        <v>-0.5865433521532133</v>
      </c>
      <c r="I98" s="557">
        <v>-0.7332995432213067</v>
      </c>
      <c r="J98" s="557">
        <v>-0.9466924828986188</v>
      </c>
      <c r="K98" s="557">
        <v>-1.1081301861863118</v>
      </c>
      <c r="L98" s="557">
        <v>-0.849653141265062</v>
      </c>
    </row>
    <row r="99" spans="2:7" ht="14.25">
      <c r="B99" s="582"/>
      <c r="E99" s="575"/>
      <c r="F99" s="575"/>
      <c r="G99" s="575"/>
    </row>
    <row r="100" spans="2:7" ht="14.25">
      <c r="B100" s="582"/>
      <c r="E100" s="575"/>
      <c r="F100" s="575"/>
      <c r="G100" s="575"/>
    </row>
    <row r="101" spans="2:7" ht="14.25">
      <c r="B101" s="582"/>
      <c r="E101" s="575"/>
      <c r="F101" s="575"/>
      <c r="G101" s="575"/>
    </row>
    <row r="102" ht="14.25">
      <c r="B102" s="69" t="s">
        <v>165</v>
      </c>
    </row>
    <row r="103" spans="2:12" ht="14.25">
      <c r="B103" s="63" t="s">
        <v>636</v>
      </c>
      <c r="E103" s="571">
        <v>0</v>
      </c>
      <c r="F103" s="571">
        <v>0</v>
      </c>
      <c r="G103" s="571">
        <v>0</v>
      </c>
      <c r="H103" s="571">
        <v>0</v>
      </c>
      <c r="I103" s="571">
        <v>0</v>
      </c>
      <c r="J103" s="571">
        <v>0</v>
      </c>
      <c r="K103" s="571">
        <v>0</v>
      </c>
      <c r="L103" s="571">
        <v>0</v>
      </c>
    </row>
    <row r="104" spans="2:12" ht="14.25">
      <c r="B104" s="63" t="s">
        <v>647</v>
      </c>
      <c r="E104" s="563">
        <v>502</v>
      </c>
      <c r="F104" s="563">
        <v>510.4</v>
      </c>
      <c r="G104" s="563">
        <v>532.6</v>
      </c>
      <c r="H104" s="563">
        <v>549.8616659202867</v>
      </c>
      <c r="I104" s="563">
        <v>572.1868490704699</v>
      </c>
      <c r="J104" s="563">
        <v>610.4024582075257</v>
      </c>
      <c r="K104" s="563">
        <v>636.7024582075258</v>
      </c>
      <c r="L104" s="563">
        <v>654.6024582075256</v>
      </c>
    </row>
    <row r="105" spans="2:13" ht="14.25">
      <c r="B105" s="63" t="s">
        <v>111</v>
      </c>
      <c r="M105" s="77"/>
    </row>
    <row r="106" ht="14.25"/>
    <row r="107" spans="2:12" ht="14.25">
      <c r="B107" s="63" t="s">
        <v>0</v>
      </c>
      <c r="E107" s="563">
        <v>2</v>
      </c>
      <c r="F107" s="563">
        <v>2</v>
      </c>
      <c r="G107" s="563">
        <v>2</v>
      </c>
      <c r="H107" s="563">
        <v>2</v>
      </c>
      <c r="I107" s="563">
        <v>2</v>
      </c>
      <c r="J107" s="563">
        <v>2</v>
      </c>
      <c r="K107" s="563">
        <v>2</v>
      </c>
      <c r="L107" s="563">
        <v>2</v>
      </c>
    </row>
    <row r="108" spans="2:12" ht="14.25">
      <c r="B108" s="63" t="s">
        <v>756</v>
      </c>
      <c r="E108" s="563">
        <v>7.276097401835489</v>
      </c>
      <c r="F108" s="563">
        <v>11.641951060372064</v>
      </c>
      <c r="G108" s="563">
        <v>18.105177082320324</v>
      </c>
      <c r="H108" s="563">
        <v>22.618673832505387</v>
      </c>
      <c r="I108" s="563">
        <v>23.39509233678344</v>
      </c>
      <c r="J108" s="563">
        <v>24.189842536545157</v>
      </c>
      <c r="K108" s="563">
        <v>24.88836560088995</v>
      </c>
      <c r="L108" s="563">
        <v>25.6925537966379</v>
      </c>
    </row>
    <row r="109" spans="2:12" ht="14.25">
      <c r="B109" s="63" t="s">
        <v>637</v>
      </c>
      <c r="E109" s="563">
        <v>776.7242951250734</v>
      </c>
      <c r="F109" s="563">
        <v>776.7242951250734</v>
      </c>
      <c r="G109" s="563">
        <v>776.7242951250734</v>
      </c>
      <c r="H109" s="563">
        <v>776.7242951250734</v>
      </c>
      <c r="I109" s="563">
        <v>776.7242951250734</v>
      </c>
      <c r="J109" s="563">
        <v>776.7242951250734</v>
      </c>
      <c r="K109" s="563">
        <v>776.7242951250734</v>
      </c>
      <c r="L109" s="563">
        <v>776.7242951250734</v>
      </c>
    </row>
    <row r="110" spans="2:12" ht="14.25">
      <c r="B110" s="63" t="s">
        <v>648</v>
      </c>
      <c r="E110" s="572">
        <v>30.000553158199637</v>
      </c>
      <c r="F110" s="572">
        <v>-0.04479684180046206</v>
      </c>
      <c r="G110" s="572">
        <v>-0.013446841800373477</v>
      </c>
      <c r="H110" s="572">
        <v>0.025373158199499812</v>
      </c>
      <c r="I110" s="572">
        <v>-0.009216841800480324</v>
      </c>
      <c r="J110" s="572">
        <v>-0.01789684180050699</v>
      </c>
      <c r="K110" s="572">
        <v>-0.0479368418004924</v>
      </c>
      <c r="L110" s="572">
        <v>-0.04003684180020173</v>
      </c>
    </row>
    <row r="111" spans="2:12" ht="14.25">
      <c r="B111" s="63" t="s">
        <v>649</v>
      </c>
      <c r="E111" s="571">
        <v>6</v>
      </c>
      <c r="F111" s="571" t="s">
        <v>21</v>
      </c>
      <c r="G111" s="571" t="s">
        <v>21</v>
      </c>
      <c r="H111" s="571" t="s">
        <v>21</v>
      </c>
      <c r="I111" s="571" t="s">
        <v>21</v>
      </c>
      <c r="J111" s="571" t="s">
        <v>21</v>
      </c>
      <c r="K111" s="571" t="s">
        <v>21</v>
      </c>
      <c r="L111" s="571" t="s">
        <v>21</v>
      </c>
    </row>
    <row r="112" spans="2:12" ht="14.25">
      <c r="B112" s="63" t="s">
        <v>638</v>
      </c>
      <c r="E112" s="563">
        <v>29</v>
      </c>
      <c r="F112" s="563">
        <v>29</v>
      </c>
      <c r="G112" s="563">
        <v>29</v>
      </c>
      <c r="H112" s="563">
        <v>29</v>
      </c>
      <c r="I112" s="563">
        <v>29</v>
      </c>
      <c r="J112" s="563">
        <v>29</v>
      </c>
      <c r="K112" s="563">
        <v>29</v>
      </c>
      <c r="L112" s="563">
        <v>29</v>
      </c>
    </row>
    <row r="113" ht="14.25"/>
    <row r="114" spans="2:12" ht="14.25">
      <c r="B114" s="63" t="s">
        <v>639</v>
      </c>
      <c r="E114" s="573">
        <v>-139.74776785714286</v>
      </c>
      <c r="F114" s="573">
        <v>-146.61254592141367</v>
      </c>
      <c r="G114" s="573">
        <v>-151.93974249664367</v>
      </c>
      <c r="H114" s="573">
        <v>-149.04312477985243</v>
      </c>
      <c r="I114" s="573">
        <v>-153.14319135669948</v>
      </c>
      <c r="J114" s="573">
        <v>-162.36014012175605</v>
      </c>
      <c r="K114" s="573">
        <v>-169.20155648087032</v>
      </c>
      <c r="L114" s="573">
        <v>-173.72358138024867</v>
      </c>
    </row>
    <row r="115" spans="2:12" ht="14.25">
      <c r="B115" s="63" t="s">
        <v>640</v>
      </c>
      <c r="E115" s="574">
        <v>-40.46696720792908</v>
      </c>
      <c r="F115" s="574">
        <v>-34.08291173225649</v>
      </c>
      <c r="G115" s="574">
        <v>-34.08291173225649</v>
      </c>
      <c r="H115" s="574">
        <v>-34.08291173225649</v>
      </c>
      <c r="I115" s="574">
        <v>-34.08291173225649</v>
      </c>
      <c r="J115" s="574">
        <v>-34.08291173225649</v>
      </c>
      <c r="K115" s="574">
        <v>-34.08291173225649</v>
      </c>
      <c r="L115" s="574">
        <v>-34.08291173225649</v>
      </c>
    </row>
    <row r="116" spans="2:12" ht="14.25">
      <c r="B116" s="63" t="s">
        <v>641</v>
      </c>
      <c r="E116" s="574">
        <v>-44.53326997188062</v>
      </c>
      <c r="F116" s="574">
        <v>-42.45470408017921</v>
      </c>
      <c r="G116" s="574">
        <v>-43.38920408017921</v>
      </c>
      <c r="H116" s="574">
        <v>-44.32370408017921</v>
      </c>
      <c r="I116" s="574">
        <v>-45.24040408017921</v>
      </c>
      <c r="J116" s="574">
        <v>-46.12150408017921</v>
      </c>
      <c r="K116" s="574">
        <v>-46.9848040801792</v>
      </c>
      <c r="L116" s="574">
        <v>-47.8837040801792</v>
      </c>
    </row>
    <row r="117" spans="5:12" ht="14.25">
      <c r="E117" s="77"/>
      <c r="F117" s="77"/>
      <c r="G117" s="77"/>
      <c r="H117" s="77"/>
      <c r="I117" s="77"/>
      <c r="J117" s="77"/>
      <c r="K117" s="77"/>
      <c r="L117" s="77"/>
    </row>
    <row r="118" spans="2:12" ht="14.25">
      <c r="B118" s="63" t="s">
        <v>650</v>
      </c>
      <c r="E118" s="574">
        <v>-369.25223214285717</v>
      </c>
      <c r="F118" s="574">
        <v>-387.390873369589</v>
      </c>
      <c r="G118" s="574">
        <v>-401.4667992797495</v>
      </c>
      <c r="H118" s="574">
        <v>-393.81313458091086</v>
      </c>
      <c r="I118" s="574">
        <v>-404.64664382867744</v>
      </c>
      <c r="J118" s="574">
        <v>-429.0003702404123</v>
      </c>
      <c r="K118" s="574">
        <v>-447.0772833844135</v>
      </c>
      <c r="L118" s="574">
        <v>-459.02572315919366</v>
      </c>
    </row>
    <row r="119" spans="2:12" ht="14.25">
      <c r="B119" s="63" t="s">
        <v>651</v>
      </c>
      <c r="E119" s="574" t="s">
        <v>21</v>
      </c>
      <c r="F119" s="574" t="s">
        <v>21</v>
      </c>
      <c r="G119" s="574" t="s">
        <v>21</v>
      </c>
      <c r="H119" s="574" t="s">
        <v>21</v>
      </c>
      <c r="I119" s="574" t="s">
        <v>21</v>
      </c>
      <c r="J119" s="574" t="s">
        <v>21</v>
      </c>
      <c r="K119" s="574" t="s">
        <v>21</v>
      </c>
      <c r="L119" s="574" t="s">
        <v>21</v>
      </c>
    </row>
    <row r="120" spans="2:12" ht="14.25">
      <c r="B120" s="63" t="s">
        <v>642</v>
      </c>
      <c r="E120" s="574">
        <v>-98</v>
      </c>
      <c r="F120" s="574">
        <v>-109.49856589170142</v>
      </c>
      <c r="G120" s="574">
        <v>-119.06406589170142</v>
      </c>
      <c r="H120" s="574">
        <v>-128.62956589170142</v>
      </c>
      <c r="I120" s="574">
        <v>-138.0128658917014</v>
      </c>
      <c r="J120" s="574">
        <v>-147.0317658917014</v>
      </c>
      <c r="K120" s="574">
        <v>-155.86846589170142</v>
      </c>
      <c r="L120" s="574">
        <v>-165.06956589170142</v>
      </c>
    </row>
    <row r="121" spans="2:12" ht="14.25">
      <c r="B121" s="63" t="s">
        <v>788</v>
      </c>
      <c r="E121" s="574">
        <v>-51</v>
      </c>
      <c r="F121" s="574">
        <v>-44.82410512562427</v>
      </c>
      <c r="G121" s="574">
        <v>-52.90134265374291</v>
      </c>
      <c r="H121" s="574">
        <v>-20.560106824786587</v>
      </c>
      <c r="I121" s="574">
        <v>12.809289740713389</v>
      </c>
      <c r="J121" s="574">
        <v>45.35975129338776</v>
      </c>
      <c r="K121" s="574">
        <v>78.25468129249367</v>
      </c>
      <c r="L121" s="574">
        <v>110.03249600953627</v>
      </c>
    </row>
    <row r="122" spans="2:12" ht="14.25">
      <c r="B122" s="63" t="s">
        <v>69</v>
      </c>
      <c r="E122" s="574" t="s">
        <v>21</v>
      </c>
      <c r="F122" s="574" t="s">
        <v>21</v>
      </c>
      <c r="G122" s="574" t="s">
        <v>21</v>
      </c>
      <c r="H122" s="574">
        <v>-28.488309973621455</v>
      </c>
      <c r="I122" s="574">
        <v>-30.050217612200747</v>
      </c>
      <c r="J122" s="574">
        <v>-29.67755572035307</v>
      </c>
      <c r="K122" s="574">
        <v>-29.792015535998075</v>
      </c>
      <c r="L122" s="574">
        <v>-29.70179235220644</v>
      </c>
    </row>
    <row r="123" spans="2:12" ht="14.25">
      <c r="B123" s="63" t="s">
        <v>344</v>
      </c>
      <c r="E123" s="574" t="s">
        <v>21</v>
      </c>
      <c r="F123" s="574" t="s">
        <v>21</v>
      </c>
      <c r="G123" s="574" t="s">
        <v>21</v>
      </c>
      <c r="H123" s="574" t="s">
        <v>21</v>
      </c>
      <c r="I123" s="574" t="s">
        <v>21</v>
      </c>
      <c r="J123" s="574" t="s">
        <v>21</v>
      </c>
      <c r="K123" s="574" t="s">
        <v>21</v>
      </c>
      <c r="L123" s="574" t="s">
        <v>21</v>
      </c>
    </row>
    <row r="124" spans="2:12" ht="14.25">
      <c r="B124" s="63" t="s">
        <v>643</v>
      </c>
      <c r="E124" s="574">
        <v>-18</v>
      </c>
      <c r="F124" s="574">
        <v>-16.94952</v>
      </c>
      <c r="G124" s="574">
        <v>-16.220019999999998</v>
      </c>
      <c r="H124" s="574">
        <v>-15.652819999999998</v>
      </c>
      <c r="I124" s="574">
        <v>-14.960619999999999</v>
      </c>
      <c r="J124" s="574">
        <v>-13.968419999999998</v>
      </c>
      <c r="K124" s="574">
        <v>-13.801219999999999</v>
      </c>
      <c r="L124" s="574">
        <v>-13.63402</v>
      </c>
    </row>
    <row r="125" spans="2:12" ht="14.25">
      <c r="B125" s="63" t="s">
        <v>653</v>
      </c>
      <c r="E125" s="574">
        <v>-8</v>
      </c>
      <c r="F125" s="574">
        <v>-3.5093780582524268</v>
      </c>
      <c r="G125" s="574">
        <v>-2.433790768532801</v>
      </c>
      <c r="H125" s="574">
        <v>-2.1217043690195587</v>
      </c>
      <c r="I125" s="574">
        <v>-1.892324613412548</v>
      </c>
      <c r="J125" s="574">
        <v>-1.7923770074835672</v>
      </c>
      <c r="K125" s="574">
        <v>-1.6924294015545864</v>
      </c>
      <c r="L125" s="574">
        <v>-1.5924817956256057</v>
      </c>
    </row>
    <row r="126" spans="2:12" ht="14.25">
      <c r="B126" s="63" t="s">
        <v>117</v>
      </c>
      <c r="E126" s="574" t="s">
        <v>21</v>
      </c>
      <c r="F126" s="574" t="s">
        <v>21</v>
      </c>
      <c r="G126" s="574" t="s">
        <v>21</v>
      </c>
      <c r="H126" s="574" t="s">
        <v>21</v>
      </c>
      <c r="I126" s="574" t="s">
        <v>21</v>
      </c>
      <c r="J126" s="574" t="s">
        <v>21</v>
      </c>
      <c r="K126" s="574" t="s">
        <v>21</v>
      </c>
      <c r="L126" s="574" t="s">
        <v>21</v>
      </c>
    </row>
    <row r="127" spans="5:12" ht="14.25">
      <c r="E127" s="77"/>
      <c r="F127" s="77"/>
      <c r="G127" s="77"/>
      <c r="H127" s="77"/>
      <c r="I127" s="77"/>
      <c r="J127" s="77"/>
      <c r="K127" s="77"/>
      <c r="L127" s="77"/>
    </row>
    <row r="128" spans="2:12" ht="14.25">
      <c r="B128" s="63" t="s">
        <v>654</v>
      </c>
      <c r="E128" s="574">
        <v>635.362</v>
      </c>
      <c r="F128" s="574">
        <v>635.362</v>
      </c>
      <c r="G128" s="574">
        <v>635.362</v>
      </c>
      <c r="H128" s="574">
        <v>635.362</v>
      </c>
      <c r="I128" s="574">
        <v>635.362</v>
      </c>
      <c r="J128" s="574">
        <v>635.362</v>
      </c>
      <c r="K128" s="574">
        <v>635.362</v>
      </c>
      <c r="L128" s="574">
        <v>635.362</v>
      </c>
    </row>
    <row r="129" spans="2:12" ht="14.25">
      <c r="B129" s="63" t="s">
        <v>96</v>
      </c>
      <c r="E129" s="574">
        <v>-51.36129149470108</v>
      </c>
      <c r="F129" s="574">
        <v>-90.96315483537123</v>
      </c>
      <c r="G129" s="574">
        <v>-98.44385153721255</v>
      </c>
      <c r="H129" s="574">
        <v>-71.84737419626285</v>
      </c>
      <c r="I129" s="574">
        <v>-41.28486968388758</v>
      </c>
      <c r="J129" s="574">
        <v>-11.738594473410338</v>
      </c>
      <c r="K129" s="574">
        <v>13.659176877208886</v>
      </c>
      <c r="L129" s="574">
        <v>37.935985905561516</v>
      </c>
    </row>
    <row r="130" spans="2:12" ht="14.25">
      <c r="B130" s="63" t="s">
        <v>645</v>
      </c>
      <c r="E130" s="574" t="s">
        <v>21</v>
      </c>
      <c r="F130" s="574" t="s">
        <v>21</v>
      </c>
      <c r="G130" s="574" t="s">
        <v>21</v>
      </c>
      <c r="H130" s="574" t="s">
        <v>21</v>
      </c>
      <c r="I130" s="574" t="s">
        <v>21</v>
      </c>
      <c r="J130" s="574" t="s">
        <v>21</v>
      </c>
      <c r="K130" s="574" t="s">
        <v>21</v>
      </c>
      <c r="L130" s="574" t="s">
        <v>21</v>
      </c>
    </row>
    <row r="131" spans="5:7" ht="14.25">
      <c r="E131" s="575"/>
      <c r="F131" s="575"/>
      <c r="G131" s="575"/>
    </row>
    <row r="132" spans="2:5" ht="14.25">
      <c r="B132" s="63" t="s">
        <v>655</v>
      </c>
      <c r="D132" s="522"/>
      <c r="E132" s="116">
        <v>1</v>
      </c>
    </row>
    <row r="133" spans="2:5" ht="14.25">
      <c r="B133" s="63" t="s">
        <v>347</v>
      </c>
      <c r="E133" s="82"/>
    </row>
    <row r="134" spans="2:5" ht="14.25">
      <c r="B134" s="63" t="s">
        <v>349</v>
      </c>
      <c r="E134" s="82"/>
    </row>
    <row r="135" spans="2:7" ht="14.25">
      <c r="B135" s="63" t="s">
        <v>368</v>
      </c>
      <c r="F135" s="568">
        <v>-1.4619883040935673</v>
      </c>
      <c r="G135" s="568">
        <v>-0.09499599116917246</v>
      </c>
    </row>
    <row r="136" spans="2:7" ht="14.25">
      <c r="B136" s="63" t="s">
        <v>499</v>
      </c>
      <c r="F136" s="568">
        <v>0</v>
      </c>
      <c r="G136" s="568">
        <v>0</v>
      </c>
    </row>
    <row r="137" spans="6:7" ht="14.25">
      <c r="F137" s="575"/>
      <c r="G137" s="575"/>
    </row>
    <row r="138" spans="2:7" ht="14.25">
      <c r="B138" s="63" t="s">
        <v>745</v>
      </c>
      <c r="F138" s="575"/>
      <c r="G138" s="575"/>
    </row>
    <row r="139" spans="2:7" ht="14.25">
      <c r="B139" s="63" t="s">
        <v>746</v>
      </c>
      <c r="F139" s="575"/>
      <c r="G139" s="568">
        <v>0</v>
      </c>
    </row>
    <row r="140" spans="2:7" ht="14.25">
      <c r="B140" s="63" t="s">
        <v>747</v>
      </c>
      <c r="G140" s="576">
        <v>1</v>
      </c>
    </row>
    <row r="143" ht="14.25">
      <c r="B143" s="216" t="s">
        <v>166</v>
      </c>
    </row>
    <row r="145" ht="14.25">
      <c r="B145" s="63" t="s">
        <v>196</v>
      </c>
    </row>
    <row r="146" spans="2:6" ht="14.25">
      <c r="B146" s="63" t="s">
        <v>197</v>
      </c>
      <c r="E146" s="577">
        <v>10.050718874701648</v>
      </c>
      <c r="F146" s="577">
        <v>7.461232100778263</v>
      </c>
    </row>
    <row r="147" spans="2:6" ht="14.25">
      <c r="B147" s="63" t="s">
        <v>148</v>
      </c>
      <c r="E147" s="577">
        <v>24.15266104991251</v>
      </c>
      <c r="F147" s="577">
        <v>22.762025128500007</v>
      </c>
    </row>
    <row r="148" spans="2:6" ht="14.25">
      <c r="B148" s="63" t="s">
        <v>198</v>
      </c>
      <c r="E148" s="577">
        <v>14.101942175210862</v>
      </c>
      <c r="F148" s="577">
        <v>15.300793027721744</v>
      </c>
    </row>
    <row r="149" spans="5:6" ht="14.25">
      <c r="E149" s="70"/>
      <c r="F149" s="70"/>
    </row>
    <row r="150" spans="2:6" ht="14.25">
      <c r="B150" s="63" t="s">
        <v>199</v>
      </c>
      <c r="E150" s="70"/>
      <c r="F150" s="70"/>
    </row>
    <row r="151" spans="2:6" ht="14.25">
      <c r="B151" s="63" t="s">
        <v>197</v>
      </c>
      <c r="E151" s="577">
        <v>15.971847533439057</v>
      </c>
      <c r="F151" s="577">
        <v>15.55911004513429</v>
      </c>
    </row>
    <row r="152" spans="2:6" ht="14.25">
      <c r="B152" s="63" t="s">
        <v>148</v>
      </c>
      <c r="E152" s="577">
        <v>28.444890909018916</v>
      </c>
      <c r="F152" s="577">
        <v>31.53273266869041</v>
      </c>
    </row>
    <row r="153" spans="2:6" ht="14.25">
      <c r="B153" s="63" t="s">
        <v>303</v>
      </c>
      <c r="E153" s="578">
        <v>0</v>
      </c>
      <c r="F153" s="578">
        <v>0</v>
      </c>
    </row>
    <row r="154" spans="2:6" ht="14.25">
      <c r="B154" s="63" t="s">
        <v>304</v>
      </c>
      <c r="E154" s="577">
        <v>28.444890909018916</v>
      </c>
      <c r="F154" s="577">
        <v>31.53273266869041</v>
      </c>
    </row>
    <row r="155" spans="2:6" ht="14.25">
      <c r="B155" s="63" t="s">
        <v>198</v>
      </c>
      <c r="E155" s="577">
        <v>12.47304337557986</v>
      </c>
      <c r="F155" s="577">
        <v>15.973622623556121</v>
      </c>
    </row>
    <row r="156" spans="5:6" ht="14.25">
      <c r="E156" s="70"/>
      <c r="F156" s="70"/>
    </row>
    <row r="157" spans="2:6" ht="14.25">
      <c r="B157" s="63" t="s">
        <v>200</v>
      </c>
      <c r="E157" s="70"/>
      <c r="F157" s="70"/>
    </row>
    <row r="158" spans="2:6" ht="14.25">
      <c r="B158" s="63" t="s">
        <v>201</v>
      </c>
      <c r="E158" s="577">
        <v>18.036642641421174</v>
      </c>
      <c r="F158" s="577">
        <v>15.240787123345408</v>
      </c>
    </row>
    <row r="159" spans="2:6" ht="14.25">
      <c r="B159" s="63" t="s">
        <v>202</v>
      </c>
      <c r="E159" s="577">
        <v>44.611628192211896</v>
      </c>
      <c r="F159" s="577">
        <v>46.515202774623276</v>
      </c>
    </row>
    <row r="160" spans="2:6" ht="14.25">
      <c r="B160" s="63" t="s">
        <v>205</v>
      </c>
      <c r="E160" s="577">
        <v>26.57498555079072</v>
      </c>
      <c r="F160" s="577">
        <v>31.27441565127787</v>
      </c>
    </row>
    <row r="161" spans="5:6" ht="14.25">
      <c r="E161" s="70"/>
      <c r="F161" s="70"/>
    </row>
    <row r="162" spans="2:7" ht="14.25">
      <c r="B162" s="63" t="s">
        <v>541</v>
      </c>
      <c r="D162" s="89"/>
      <c r="E162" s="579">
        <v>0</v>
      </c>
      <c r="F162" s="579">
        <v>0</v>
      </c>
      <c r="G162" s="63" t="s">
        <v>167</v>
      </c>
    </row>
    <row r="163" spans="2:7" ht="14.25">
      <c r="B163" s="63" t="s">
        <v>542</v>
      </c>
      <c r="D163" s="89"/>
      <c r="E163" s="579">
        <v>24.559139595942504</v>
      </c>
      <c r="F163" s="579">
        <v>37.01909920199273</v>
      </c>
      <c r="G163" s="63" t="s">
        <v>167</v>
      </c>
    </row>
    <row r="164" spans="2:7" ht="14.25">
      <c r="B164" s="63" t="s">
        <v>543</v>
      </c>
      <c r="D164" s="89"/>
      <c r="E164" s="579">
        <v>0.3518896436056575</v>
      </c>
      <c r="F164" s="579">
        <v>0.44694297825980667</v>
      </c>
      <c r="G164" s="63" t="s">
        <v>167</v>
      </c>
    </row>
    <row r="165" spans="2:7" ht="14.25">
      <c r="B165" s="63" t="s">
        <v>336</v>
      </c>
      <c r="D165" s="89"/>
      <c r="E165" s="579">
        <v>0</v>
      </c>
      <c r="F165" s="579">
        <v>0</v>
      </c>
      <c r="G165" s="63" t="s">
        <v>167</v>
      </c>
    </row>
    <row r="166" spans="5:6" ht="14.25">
      <c r="E166" s="70"/>
      <c r="F166" s="70"/>
    </row>
    <row r="167" ht="14.25">
      <c r="B167" s="63" t="s">
        <v>210</v>
      </c>
    </row>
    <row r="168" spans="2:7" ht="14.25">
      <c r="B168" s="63" t="s">
        <v>211</v>
      </c>
      <c r="G168" s="577">
        <v>27.660978818847973</v>
      </c>
    </row>
    <row r="169" spans="2:7" ht="14.25">
      <c r="B169" s="63" t="s">
        <v>212</v>
      </c>
      <c r="G169" s="577">
        <v>-0.5409973869919895</v>
      </c>
    </row>
    <row r="170" spans="2:7" ht="14.25">
      <c r="B170" s="63" t="s">
        <v>215</v>
      </c>
      <c r="G170" s="577">
        <v>27.119981431855983</v>
      </c>
    </row>
    <row r="171" spans="2:7" ht="14.25">
      <c r="B171" s="63" t="s">
        <v>217</v>
      </c>
      <c r="G171" s="577">
        <v>32.12696521778091</v>
      </c>
    </row>
    <row r="172" spans="2:7" ht="14.25">
      <c r="B172" s="63" t="s">
        <v>218</v>
      </c>
      <c r="G172" s="577">
        <v>-4.673513397622166</v>
      </c>
    </row>
    <row r="173" spans="2:7" ht="14.25">
      <c r="B173" s="63" t="s">
        <v>224</v>
      </c>
      <c r="G173" s="577">
        <v>27.453451820158747</v>
      </c>
    </row>
    <row r="174" spans="2:7" ht="14.25">
      <c r="B174" s="63" t="s">
        <v>213</v>
      </c>
      <c r="G174" s="577">
        <v>55.97752695310853</v>
      </c>
    </row>
    <row r="175" spans="2:7" ht="14.25">
      <c r="B175" s="63" t="s">
        <v>214</v>
      </c>
      <c r="G175" s="577">
        <v>-1.1028686828946164</v>
      </c>
    </row>
    <row r="176" spans="2:7" ht="14.25">
      <c r="B176" s="63" t="s">
        <v>216</v>
      </c>
      <c r="G176" s="577">
        <v>54.874658270213914</v>
      </c>
    </row>
    <row r="179" spans="1:2" s="77" customFormat="1" ht="14.25">
      <c r="A179" s="216"/>
      <c r="B179" s="216" t="s">
        <v>168</v>
      </c>
    </row>
    <row r="180" spans="1:2" ht="14.25">
      <c r="A180" s="216"/>
      <c r="B180" s="259" t="s">
        <v>408</v>
      </c>
    </row>
    <row r="181" spans="2:7" ht="14.25">
      <c r="B181" s="63" t="s">
        <v>434</v>
      </c>
      <c r="D181" s="63" t="s">
        <v>236</v>
      </c>
      <c r="G181" s="70">
        <v>0.2406244246706368</v>
      </c>
    </row>
    <row r="182" spans="2:7" ht="14.25">
      <c r="B182" s="63" t="s">
        <v>235</v>
      </c>
      <c r="D182" s="63" t="s">
        <v>237</v>
      </c>
      <c r="G182" s="70">
        <v>2.969844248080087</v>
      </c>
    </row>
    <row r="184" spans="2:7" ht="14.25">
      <c r="B184" s="77" t="s">
        <v>598</v>
      </c>
      <c r="D184" s="63" t="s">
        <v>238</v>
      </c>
      <c r="G184" s="569">
        <v>-11.247161117090764</v>
      </c>
    </row>
    <row r="185" spans="2:7" ht="14.25">
      <c r="B185" s="77" t="s">
        <v>669</v>
      </c>
      <c r="D185" s="63" t="s">
        <v>240</v>
      </c>
      <c r="G185" s="569">
        <v>-8.58106834432312</v>
      </c>
    </row>
    <row r="186" spans="2:7" ht="14.25">
      <c r="B186" s="63" t="s">
        <v>307</v>
      </c>
      <c r="D186" s="63" t="s">
        <v>239</v>
      </c>
      <c r="G186" s="557">
        <v>-91.60769345551286</v>
      </c>
    </row>
    <row r="187" ht="14.25">
      <c r="A187" s="216"/>
    </row>
    <row r="188" spans="2:7" ht="14.25">
      <c r="B188" s="77" t="s">
        <v>729</v>
      </c>
      <c r="D188" s="63" t="s">
        <v>730</v>
      </c>
      <c r="G188" s="70">
        <v>0</v>
      </c>
    </row>
    <row r="189" spans="2:7" ht="14.25">
      <c r="B189" s="77" t="s">
        <v>731</v>
      </c>
      <c r="D189" s="132" t="s">
        <v>452</v>
      </c>
      <c r="G189" s="70">
        <v>0.13104438732680576</v>
      </c>
    </row>
    <row r="190" spans="2:7" ht="14.25">
      <c r="B190" s="77" t="s">
        <v>109</v>
      </c>
      <c r="D190" s="132" t="s">
        <v>452</v>
      </c>
      <c r="G190" s="401">
        <v>0.4368146244226928</v>
      </c>
    </row>
    <row r="191" spans="2:7" ht="14.25">
      <c r="B191" s="63" t="s">
        <v>187</v>
      </c>
      <c r="G191" s="63">
        <v>15.341771020472057</v>
      </c>
    </row>
    <row r="193" ht="14.25">
      <c r="B193" s="259" t="s">
        <v>412</v>
      </c>
    </row>
    <row r="194" spans="2:6" ht="14.25">
      <c r="B194" s="98" t="s">
        <v>696</v>
      </c>
      <c r="E194" s="563">
        <v>1.4209217817814224</v>
      </c>
      <c r="F194" s="563">
        <v>1.3777062114634042</v>
      </c>
    </row>
    <row r="195" ht="14.25">
      <c r="B195" s="69"/>
    </row>
    <row r="196" spans="2:4" ht="14.25">
      <c r="B196" s="63" t="s">
        <v>693</v>
      </c>
      <c r="D196" s="563">
        <v>1290.1377586984715</v>
      </c>
    </row>
    <row r="197" spans="2:4" ht="14.25">
      <c r="B197" s="63" t="s">
        <v>694</v>
      </c>
      <c r="D197" s="563">
        <v>11.137774423255957</v>
      </c>
    </row>
    <row r="199" spans="2:11" ht="14.25">
      <c r="B199" s="63" t="s">
        <v>241</v>
      </c>
      <c r="C199" s="63" t="s">
        <v>242</v>
      </c>
      <c r="D199" s="63" t="s">
        <v>242</v>
      </c>
      <c r="E199" s="563">
        <v>1283.351550153374</v>
      </c>
      <c r="G199" s="172"/>
      <c r="H199" s="70"/>
      <c r="I199" s="70"/>
      <c r="J199" s="70"/>
      <c r="K199" s="70"/>
    </row>
    <row r="200" spans="2:11" ht="14.25">
      <c r="B200" s="63" t="s">
        <v>243</v>
      </c>
      <c r="C200" s="63" t="s">
        <v>248</v>
      </c>
      <c r="D200" s="63" t="s">
        <v>248</v>
      </c>
      <c r="E200" s="563">
        <v>1293.791390919448</v>
      </c>
      <c r="G200" s="172"/>
      <c r="H200" s="70"/>
      <c r="I200" s="70"/>
      <c r="J200" s="70"/>
      <c r="K200" s="70"/>
    </row>
    <row r="201" spans="2:11" ht="14.25">
      <c r="B201" s="63" t="s">
        <v>249</v>
      </c>
      <c r="C201" s="63" t="s">
        <v>250</v>
      </c>
      <c r="D201" s="63" t="s">
        <v>250</v>
      </c>
      <c r="E201" s="563">
        <v>1290.1377586984715</v>
      </c>
      <c r="G201" s="172"/>
      <c r="H201" s="70"/>
      <c r="I201" s="70"/>
      <c r="J201" s="70"/>
      <c r="K201" s="70"/>
    </row>
    <row r="202" spans="2:11" ht="14.25">
      <c r="B202" s="63" t="s">
        <v>251</v>
      </c>
      <c r="C202" s="63" t="s">
        <v>252</v>
      </c>
      <c r="D202" s="63" t="s">
        <v>252</v>
      </c>
      <c r="E202" s="563">
        <v>-133.37890362484197</v>
      </c>
      <c r="G202" s="172"/>
      <c r="H202" s="70"/>
      <c r="I202" s="70"/>
      <c r="J202" s="70"/>
      <c r="K202" s="70"/>
    </row>
    <row r="203" spans="2:11" ht="14.25">
      <c r="B203" s="63" t="s">
        <v>253</v>
      </c>
      <c r="C203" s="63" t="s">
        <v>254</v>
      </c>
      <c r="D203" s="63" t="s">
        <v>254</v>
      </c>
      <c r="E203" s="563">
        <v>129.6219203731415</v>
      </c>
      <c r="G203" s="172"/>
      <c r="H203" s="70"/>
      <c r="I203" s="70"/>
      <c r="J203" s="70"/>
      <c r="K203" s="70"/>
    </row>
    <row r="204" spans="2:11" ht="14.25">
      <c r="B204" s="63" t="s">
        <v>255</v>
      </c>
      <c r="C204" s="63" t="s">
        <v>256</v>
      </c>
      <c r="D204" s="63" t="s">
        <v>256</v>
      </c>
      <c r="E204" s="563">
        <v>-3.0292252933967996</v>
      </c>
      <c r="G204" s="172"/>
      <c r="H204" s="70"/>
      <c r="I204" s="70"/>
      <c r="J204" s="70"/>
      <c r="K204" s="70"/>
    </row>
    <row r="205" spans="2:11" ht="14.25">
      <c r="B205" s="63" t="s">
        <v>257</v>
      </c>
      <c r="C205" s="63" t="s">
        <v>260</v>
      </c>
      <c r="D205" s="63" t="s">
        <v>260</v>
      </c>
      <c r="E205" s="563">
        <v>1419.7596790716127</v>
      </c>
      <c r="G205" s="172"/>
      <c r="H205" s="70"/>
      <c r="I205" s="70"/>
      <c r="J205" s="70"/>
      <c r="K205" s="70"/>
    </row>
    <row r="206" spans="2:11" ht="14.25">
      <c r="B206" s="63" t="s">
        <v>261</v>
      </c>
      <c r="C206" s="63" t="s">
        <v>262</v>
      </c>
      <c r="D206" s="63" t="s">
        <v>262</v>
      </c>
      <c r="E206" s="563">
        <v>-182.092767798932</v>
      </c>
      <c r="G206" s="172"/>
      <c r="H206" s="70"/>
      <c r="I206" s="70"/>
      <c r="J206" s="70"/>
      <c r="K206" s="70"/>
    </row>
    <row r="207" spans="2:11" ht="14.25">
      <c r="B207" s="63" t="s">
        <v>263</v>
      </c>
      <c r="C207" s="63" t="s">
        <v>264</v>
      </c>
      <c r="D207" s="63" t="s">
        <v>264</v>
      </c>
      <c r="E207" s="563">
        <v>46.407045023404066</v>
      </c>
      <c r="G207" s="172"/>
      <c r="H207" s="70"/>
      <c r="I207" s="70"/>
      <c r="J207" s="70"/>
      <c r="K207" s="70"/>
    </row>
    <row r="208" spans="2:11" ht="14.25">
      <c r="B208" s="63" t="s">
        <v>265</v>
      </c>
      <c r="C208" s="63" t="s">
        <v>266</v>
      </c>
      <c r="D208" s="63" t="s">
        <v>266</v>
      </c>
      <c r="E208" s="563">
        <v>38.68672121176071</v>
      </c>
      <c r="G208" s="172"/>
      <c r="H208" s="70"/>
      <c r="I208" s="70"/>
      <c r="J208" s="70"/>
      <c r="K208" s="70"/>
    </row>
    <row r="209" spans="2:11" ht="14.25">
      <c r="B209" s="63" t="s">
        <v>267</v>
      </c>
      <c r="C209" s="63" t="s">
        <v>268</v>
      </c>
      <c r="D209" s="63" t="s">
        <v>268</v>
      </c>
      <c r="G209" s="563">
        <v>-30.317438982311028</v>
      </c>
      <c r="H209" s="563">
        <v>-0.5494079956851072</v>
      </c>
      <c r="I209" s="563">
        <v>-7.81987423376458</v>
      </c>
      <c r="J209" s="563">
        <v>-23.91712736694695</v>
      </c>
      <c r="K209" s="563">
        <v>-29.616491230250794</v>
      </c>
    </row>
    <row r="210" spans="2:11" ht="14.25">
      <c r="B210" s="63" t="s">
        <v>269</v>
      </c>
      <c r="C210" s="63" t="s">
        <v>270</v>
      </c>
      <c r="D210" s="63" t="s">
        <v>270</v>
      </c>
      <c r="E210" s="563">
        <v>-1.359650799117937</v>
      </c>
      <c r="G210" s="172"/>
      <c r="H210" s="70"/>
      <c r="I210" s="70"/>
      <c r="J210" s="70"/>
      <c r="K210" s="70"/>
    </row>
    <row r="211" spans="2:11" ht="14.25">
      <c r="B211" s="63" t="s">
        <v>271</v>
      </c>
      <c r="C211" s="63" t="s">
        <v>272</v>
      </c>
      <c r="D211" s="63" t="s">
        <v>272</v>
      </c>
      <c r="E211" s="563">
        <v>11.591599820829867</v>
      </c>
      <c r="G211" s="172"/>
      <c r="H211" s="70"/>
      <c r="I211" s="70"/>
      <c r="J211" s="70"/>
      <c r="K211" s="70"/>
    </row>
    <row r="212" spans="2:11" ht="14.25">
      <c r="B212" s="63" t="s">
        <v>273</v>
      </c>
      <c r="C212" s="63" t="s">
        <v>274</v>
      </c>
      <c r="D212" s="63" t="s">
        <v>274</v>
      </c>
      <c r="E212" s="563">
        <v>-1.1517590547558627</v>
      </c>
      <c r="G212" s="172"/>
      <c r="H212" s="70"/>
      <c r="I212" s="70"/>
      <c r="J212" s="70"/>
      <c r="K212" s="70"/>
    </row>
    <row r="213" spans="2:11" ht="14.25">
      <c r="B213" s="63" t="s">
        <v>275</v>
      </c>
      <c r="C213" s="63" t="s">
        <v>282</v>
      </c>
      <c r="D213" s="63" t="s">
        <v>282</v>
      </c>
      <c r="E213" s="563">
        <v>-0.3800559834141721</v>
      </c>
      <c r="G213" s="172"/>
      <c r="H213" s="70"/>
      <c r="I213" s="70"/>
      <c r="J213" s="70"/>
      <c r="K213" s="70"/>
    </row>
    <row r="214" spans="2:11" ht="14.25">
      <c r="B214" s="63" t="s">
        <v>576</v>
      </c>
      <c r="C214" s="63" t="s">
        <v>283</v>
      </c>
      <c r="D214" s="63" t="s">
        <v>283</v>
      </c>
      <c r="G214" s="563">
        <v>1.2430297742436314</v>
      </c>
      <c r="H214" s="70"/>
      <c r="I214" s="70"/>
      <c r="J214" s="70"/>
      <c r="K214" s="70"/>
    </row>
    <row r="216" spans="2:4" ht="14.25">
      <c r="B216" s="259" t="s">
        <v>413</v>
      </c>
      <c r="C216" s="77"/>
      <c r="D216" s="77"/>
    </row>
    <row r="217" spans="2:11" ht="14.25">
      <c r="B217" s="63" t="s">
        <v>241</v>
      </c>
      <c r="C217" s="77" t="s">
        <v>284</v>
      </c>
      <c r="D217" s="77" t="s">
        <v>284</v>
      </c>
      <c r="E217" s="563">
        <v>1266.006267434197</v>
      </c>
      <c r="G217" s="172"/>
      <c r="H217" s="70"/>
      <c r="I217" s="70"/>
      <c r="J217" s="70"/>
      <c r="K217" s="70"/>
    </row>
    <row r="218" spans="2:11" ht="14.25">
      <c r="B218" s="63" t="s">
        <v>243</v>
      </c>
      <c r="C218" s="77" t="s">
        <v>285</v>
      </c>
      <c r="D218" s="77" t="s">
        <v>285</v>
      </c>
      <c r="E218" s="563">
        <v>1276.305007354124</v>
      </c>
      <c r="G218" s="172"/>
      <c r="H218" s="70"/>
      <c r="I218" s="70"/>
      <c r="J218" s="70"/>
      <c r="K218" s="70"/>
    </row>
    <row r="219" spans="2:11" ht="14.25">
      <c r="B219" s="63" t="s">
        <v>286</v>
      </c>
      <c r="C219" s="77" t="s">
        <v>287</v>
      </c>
      <c r="D219" s="77" t="s">
        <v>287</v>
      </c>
      <c r="E219" s="563">
        <v>1313.1275795337544</v>
      </c>
      <c r="G219" s="172"/>
      <c r="H219" s="70"/>
      <c r="I219" s="70"/>
      <c r="J219" s="70"/>
      <c r="K219" s="70"/>
    </row>
    <row r="220" spans="2:11" ht="14.25">
      <c r="B220" s="63" t="s">
        <v>249</v>
      </c>
      <c r="C220" s="77" t="s">
        <v>288</v>
      </c>
      <c r="D220" s="77" t="s">
        <v>288</v>
      </c>
      <c r="E220" s="563">
        <v>1272.7007562117903</v>
      </c>
      <c r="G220" s="172"/>
      <c r="H220" s="70"/>
      <c r="I220" s="70"/>
      <c r="J220" s="70"/>
      <c r="K220" s="70"/>
    </row>
    <row r="221" spans="2:11" ht="14.25">
      <c r="B221" s="63" t="s">
        <v>251</v>
      </c>
      <c r="C221" s="77" t="s">
        <v>289</v>
      </c>
      <c r="D221" s="77" t="s">
        <v>289</v>
      </c>
      <c r="E221" s="563">
        <v>-131.57620599933924</v>
      </c>
      <c r="G221" s="172"/>
      <c r="H221" s="70"/>
      <c r="I221" s="70"/>
      <c r="J221" s="70"/>
      <c r="K221" s="70"/>
    </row>
    <row r="222" spans="2:11" ht="14.25">
      <c r="B222" s="63" t="s">
        <v>253</v>
      </c>
      <c r="C222" s="77" t="s">
        <v>290</v>
      </c>
      <c r="D222" s="77" t="s">
        <v>290</v>
      </c>
      <c r="E222" s="563">
        <v>127.87000067880201</v>
      </c>
      <c r="G222" s="172"/>
      <c r="H222" s="70"/>
      <c r="I222" s="70"/>
      <c r="J222" s="70"/>
      <c r="K222" s="70"/>
    </row>
    <row r="223" spans="2:11" ht="14.25">
      <c r="B223" s="63" t="s">
        <v>255</v>
      </c>
      <c r="C223" s="77" t="s">
        <v>291</v>
      </c>
      <c r="D223" s="77" t="s">
        <v>291</v>
      </c>
      <c r="E223" s="563">
        <v>-2.988283457056032</v>
      </c>
      <c r="G223" s="172"/>
      <c r="H223" s="70"/>
      <c r="I223" s="70"/>
      <c r="J223" s="70"/>
      <c r="K223" s="70"/>
    </row>
    <row r="224" spans="2:11" ht="14.25">
      <c r="B224" s="63" t="s">
        <v>265</v>
      </c>
      <c r="C224" s="77" t="s">
        <v>292</v>
      </c>
      <c r="D224" s="77" t="s">
        <v>292</v>
      </c>
      <c r="E224" s="563">
        <v>38.16384646491852</v>
      </c>
      <c r="G224" s="172"/>
      <c r="H224" s="70"/>
      <c r="I224" s="70"/>
      <c r="J224" s="70"/>
      <c r="K224" s="70"/>
    </row>
    <row r="225" spans="2:11" ht="14.25">
      <c r="B225" s="121" t="s">
        <v>293</v>
      </c>
      <c r="C225" s="77" t="s">
        <v>294</v>
      </c>
      <c r="D225" s="77" t="s">
        <v>294</v>
      </c>
      <c r="G225" s="563">
        <v>-32.16400274198204</v>
      </c>
      <c r="H225" s="563">
        <v>-0.5974429204670904</v>
      </c>
      <c r="I225" s="563">
        <v>-8.71615766427243</v>
      </c>
      <c r="J225" s="563">
        <v>-27.324875432056363</v>
      </c>
      <c r="K225" s="563">
        <v>-34.682200509061765</v>
      </c>
    </row>
    <row r="226" spans="2:11" ht="14.25">
      <c r="B226" s="63" t="s">
        <v>269</v>
      </c>
      <c r="C226" s="77" t="s">
        <v>295</v>
      </c>
      <c r="D226" s="77" t="s">
        <v>295</v>
      </c>
      <c r="E226" s="563">
        <v>-1.3412742852880069</v>
      </c>
      <c r="G226" s="172"/>
      <c r="H226" s="70"/>
      <c r="I226" s="70"/>
      <c r="J226" s="70"/>
      <c r="K226" s="70"/>
    </row>
    <row r="227" spans="2:11" ht="14.25">
      <c r="B227" s="77" t="s">
        <v>271</v>
      </c>
      <c r="C227" s="77" t="s">
        <v>296</v>
      </c>
      <c r="D227" s="77" t="s">
        <v>296</v>
      </c>
      <c r="E227" s="563">
        <v>11.434932245187142</v>
      </c>
      <c r="G227" s="172"/>
      <c r="H227" s="172"/>
      <c r="I227" s="172"/>
      <c r="J227" s="172"/>
      <c r="K227" s="172"/>
    </row>
    <row r="228" spans="2:11" ht="14.25">
      <c r="B228" s="77" t="s">
        <v>273</v>
      </c>
      <c r="C228" s="77" t="s">
        <v>296</v>
      </c>
      <c r="D228" s="77" t="s">
        <v>296</v>
      </c>
      <c r="E228" s="563">
        <v>-1.136192325260172</v>
      </c>
      <c r="G228" s="172"/>
      <c r="H228" s="70"/>
      <c r="I228" s="70"/>
      <c r="J228" s="70"/>
      <c r="K228" s="70"/>
    </row>
    <row r="229" spans="2:11" ht="14.25">
      <c r="B229" s="77" t="s">
        <v>275</v>
      </c>
      <c r="C229" s="77" t="s">
        <v>296</v>
      </c>
      <c r="D229" s="77" t="s">
        <v>296</v>
      </c>
      <c r="E229" s="563">
        <v>-0.38377565514869016</v>
      </c>
      <c r="G229" s="172"/>
      <c r="H229" s="70"/>
      <c r="I229" s="70"/>
      <c r="J229" s="70"/>
      <c r="K229" s="70"/>
    </row>
    <row r="231" ht="14.25">
      <c r="B231" s="216" t="s">
        <v>169</v>
      </c>
    </row>
    <row r="232" spans="2:7" ht="14.25">
      <c r="B232" s="77" t="s">
        <v>107</v>
      </c>
      <c r="G232" s="70">
        <v>-5.851362977801475</v>
      </c>
    </row>
    <row r="233" spans="2:7" ht="14.25">
      <c r="B233" s="63" t="s">
        <v>26</v>
      </c>
      <c r="G233" s="70">
        <v>0</v>
      </c>
    </row>
    <row r="234" spans="2:7" ht="14.25">
      <c r="B234" s="63" t="s">
        <v>140</v>
      </c>
      <c r="G234" s="70">
        <v>51.52727208713252</v>
      </c>
    </row>
    <row r="235" spans="2:7" ht="14.25">
      <c r="B235" s="69"/>
      <c r="G235" s="70"/>
    </row>
    <row r="236" spans="2:7" ht="14.25">
      <c r="B236" s="63" t="s">
        <v>245</v>
      </c>
      <c r="G236" s="70">
        <v>1.2430297742436314</v>
      </c>
    </row>
    <row r="237" spans="2:7" ht="14.25">
      <c r="B237" s="63" t="s">
        <v>246</v>
      </c>
      <c r="G237" s="70">
        <v>1.2451790530755675</v>
      </c>
    </row>
    <row r="238" ht="14.25">
      <c r="G238" s="70"/>
    </row>
    <row r="239" ht="14.25">
      <c r="G239" s="70"/>
    </row>
    <row r="240" spans="1:2" ht="14.25">
      <c r="A240" s="216"/>
      <c r="B240" s="216" t="s">
        <v>173</v>
      </c>
    </row>
    <row r="241" spans="2:13" ht="38.25">
      <c r="B241" s="34"/>
      <c r="C241" s="77"/>
      <c r="D241" s="77"/>
      <c r="E241" s="263" t="s">
        <v>382</v>
      </c>
      <c r="F241" s="35" t="s">
        <v>685</v>
      </c>
      <c r="G241" s="35" t="s">
        <v>686</v>
      </c>
      <c r="H241" s="35" t="s">
        <v>687</v>
      </c>
      <c r="I241" s="35" t="s">
        <v>689</v>
      </c>
      <c r="J241" s="35" t="s">
        <v>690</v>
      </c>
      <c r="K241" s="35" t="s">
        <v>691</v>
      </c>
      <c r="L241" s="36" t="s">
        <v>692</v>
      </c>
      <c r="M241" s="34" t="s">
        <v>698</v>
      </c>
    </row>
    <row r="242" spans="2:13" ht="14.25">
      <c r="B242" s="498" t="s">
        <v>172</v>
      </c>
      <c r="C242" s="77"/>
      <c r="D242" s="77"/>
      <c r="E242" s="51"/>
      <c r="F242" s="37"/>
      <c r="G242" s="37"/>
      <c r="H242" s="38"/>
      <c r="I242" s="39"/>
      <c r="J242" s="38"/>
      <c r="K242" s="38"/>
      <c r="L242" s="38"/>
      <c r="M242" s="40"/>
    </row>
    <row r="243" spans="2:13" ht="14.25">
      <c r="B243" s="41" t="s">
        <v>377</v>
      </c>
      <c r="C243" s="77"/>
      <c r="D243" s="77"/>
      <c r="E243" s="42"/>
      <c r="F243" s="42"/>
      <c r="G243" s="52">
        <v>5.8</v>
      </c>
      <c r="H243" s="52">
        <v>6.139607691453387</v>
      </c>
      <c r="I243" s="52">
        <v>6.898181696377256</v>
      </c>
      <c r="J243" s="52">
        <v>6.3745033031226095</v>
      </c>
      <c r="K243" s="52">
        <v>4.2942842315154035</v>
      </c>
      <c r="L243" s="52">
        <v>4.079446028509951</v>
      </c>
      <c r="M243" s="52">
        <v>27.786022950978605</v>
      </c>
    </row>
    <row r="244" spans="2:13" ht="14.25">
      <c r="B244" s="43" t="s">
        <v>170</v>
      </c>
      <c r="C244" s="77"/>
      <c r="D244" s="77"/>
      <c r="E244" s="42"/>
      <c r="F244" s="42"/>
      <c r="G244" s="52">
        <v>21.31998143185598</v>
      </c>
      <c r="H244" s="52">
        <v>18.405062115916774</v>
      </c>
      <c r="I244" s="52">
        <v>17.75997404520294</v>
      </c>
      <c r="J244" s="52">
        <v>22.922856967067418</v>
      </c>
      <c r="K244" s="52">
        <v>25.722606415868277</v>
      </c>
      <c r="L244" s="52">
        <v>23.749899489895945</v>
      </c>
      <c r="M244" s="52">
        <v>108.56039903395137</v>
      </c>
    </row>
    <row r="245" spans="2:13" ht="14.25">
      <c r="B245" s="45" t="s">
        <v>699</v>
      </c>
      <c r="C245" s="77"/>
      <c r="D245" s="77"/>
      <c r="E245" s="53">
        <v>0</v>
      </c>
      <c r="F245" s="53">
        <v>0</v>
      </c>
      <c r="G245" s="53">
        <v>27.11998143185598</v>
      </c>
      <c r="H245" s="53">
        <v>24.544669807370163</v>
      </c>
      <c r="I245" s="53">
        <v>24.658155741580202</v>
      </c>
      <c r="J245" s="53">
        <v>29.297360270190026</v>
      </c>
      <c r="K245" s="53">
        <v>30.016890647383683</v>
      </c>
      <c r="L245" s="53">
        <v>27.829345518405894</v>
      </c>
      <c r="M245" s="53">
        <v>136.34642198492998</v>
      </c>
    </row>
    <row r="246" spans="2:13" ht="14.25">
      <c r="B246" s="46"/>
      <c r="C246" s="77"/>
      <c r="D246" s="77"/>
      <c r="E246" s="47"/>
      <c r="F246" s="47"/>
      <c r="G246" s="52"/>
      <c r="H246" s="52"/>
      <c r="I246" s="52"/>
      <c r="J246" s="52"/>
      <c r="K246" s="52"/>
      <c r="L246" s="52"/>
      <c r="M246" s="52"/>
    </row>
    <row r="247" spans="2:13" ht="14.25">
      <c r="B247" s="50" t="s">
        <v>174</v>
      </c>
      <c r="C247" s="77"/>
      <c r="D247" s="77"/>
      <c r="E247" s="51"/>
      <c r="F247" s="48"/>
      <c r="G247" s="52"/>
      <c r="H247" s="52"/>
      <c r="I247" s="52"/>
      <c r="J247" s="52"/>
      <c r="K247" s="52"/>
      <c r="L247" s="52"/>
      <c r="M247" s="52"/>
    </row>
    <row r="248" spans="2:13" ht="14.25">
      <c r="B248" s="496" t="s">
        <v>171</v>
      </c>
      <c r="C248" s="77"/>
      <c r="D248" s="77"/>
      <c r="E248" s="52"/>
      <c r="F248" s="52"/>
      <c r="G248" s="52">
        <v>83.58264681392293</v>
      </c>
      <c r="H248" s="52">
        <v>91.97926063514024</v>
      </c>
      <c r="I248" s="52">
        <v>90.75176381555099</v>
      </c>
      <c r="J248" s="52">
        <v>88.90929233882338</v>
      </c>
      <c r="K248" s="52">
        <v>89.076282921677</v>
      </c>
      <c r="L248" s="52">
        <v>83.98705696807502</v>
      </c>
      <c r="M248" s="52">
        <v>444.7036566792666</v>
      </c>
    </row>
    <row r="249" spans="2:13" ht="14.25">
      <c r="B249" s="497" t="s">
        <v>176</v>
      </c>
      <c r="C249" s="77"/>
      <c r="D249" s="77"/>
      <c r="E249" s="52"/>
      <c r="F249" s="52"/>
      <c r="G249" s="52">
        <v>-1.2545367235502674</v>
      </c>
      <c r="H249" s="52">
        <v>0.056423387817400736</v>
      </c>
      <c r="I249" s="52">
        <v>0.056149619324902394</v>
      </c>
      <c r="J249" s="52">
        <v>0.05587830459740481</v>
      </c>
      <c r="K249" s="52">
        <v>0.05560941631230103</v>
      </c>
      <c r="L249" s="52">
        <v>0.055342927464884104</v>
      </c>
      <c r="M249" s="52">
        <v>0.2794036555168931</v>
      </c>
    </row>
    <row r="250" spans="2:13" ht="14.25">
      <c r="B250" s="497" t="s">
        <v>177</v>
      </c>
      <c r="C250" s="77"/>
      <c r="D250" s="77"/>
      <c r="E250" s="52"/>
      <c r="F250" s="52"/>
      <c r="G250" s="52">
        <v>0</v>
      </c>
      <c r="H250" s="52">
        <v>1.3380416666666666</v>
      </c>
      <c r="I250" s="52">
        <v>1.4435833333333332</v>
      </c>
      <c r="J250" s="52">
        <v>1.5625833333333334</v>
      </c>
      <c r="K250" s="52">
        <v>1.6780416666666667</v>
      </c>
      <c r="L250" s="52">
        <v>1.7949166666666665</v>
      </c>
      <c r="M250" s="52">
        <v>7.817166666666666</v>
      </c>
    </row>
    <row r="251" spans="2:13" ht="14.25">
      <c r="B251" s="49" t="s">
        <v>530</v>
      </c>
      <c r="C251" s="77"/>
      <c r="D251" s="77"/>
      <c r="E251" s="54">
        <v>0</v>
      </c>
      <c r="F251" s="54">
        <v>0</v>
      </c>
      <c r="G251" s="53">
        <v>82.32811009037266</v>
      </c>
      <c r="H251" s="53">
        <v>93.37372568962431</v>
      </c>
      <c r="I251" s="53">
        <v>92.25149676820922</v>
      </c>
      <c r="J251" s="53">
        <v>90.52775397675411</v>
      </c>
      <c r="K251" s="53">
        <v>90.80993400465599</v>
      </c>
      <c r="L251" s="53">
        <v>85.83731656220657</v>
      </c>
      <c r="M251" s="53">
        <v>452.80022700145014</v>
      </c>
    </row>
  </sheetData>
  <printOptions/>
  <pageMargins left="0.75" right="0.75" top="1" bottom="1" header="0.5" footer="0.5"/>
  <pageSetup fitToHeight="1" fitToWidth="1" horizontalDpi="600" verticalDpi="600" orientation="landscape" paperSize="9" scale="10" r:id="rId3"/>
  <legacyDrawing r:id="rId2"/>
</worksheet>
</file>

<file path=xl/worksheets/sheet13.xml><?xml version="1.0" encoding="utf-8"?>
<worksheet xmlns="http://schemas.openxmlformats.org/spreadsheetml/2006/main" xmlns:r="http://schemas.openxmlformats.org/officeDocument/2006/relationships">
  <sheetPr codeName="Sheet26"/>
  <dimension ref="A1:M251"/>
  <sheetViews>
    <sheetView zoomScale="70" zoomScaleNormal="70" workbookViewId="0" topLeftCell="A1">
      <pane xSplit="2" ySplit="1" topLeftCell="D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9.00390625" style="71" customWidth="1"/>
    <col min="2" max="2" width="48.00390625" style="63" customWidth="1"/>
    <col min="3" max="3" width="9.00390625" style="63" hidden="1" customWidth="1"/>
    <col min="4" max="4" width="9.00390625" style="63" customWidth="1"/>
    <col min="5" max="13" width="8.75390625" style="63" customWidth="1"/>
    <col min="14" max="16384" width="9.00390625" style="63" customWidth="1"/>
  </cols>
  <sheetData>
    <row r="1" spans="3:12" ht="14.25">
      <c r="C1" s="540"/>
      <c r="D1" s="540"/>
      <c r="E1" s="541" t="s">
        <v>76</v>
      </c>
      <c r="F1" s="541" t="s">
        <v>77</v>
      </c>
      <c r="G1" s="541" t="s">
        <v>91</v>
      </c>
      <c r="H1" s="541" t="s">
        <v>92</v>
      </c>
      <c r="I1" s="541" t="s">
        <v>93</v>
      </c>
      <c r="J1" s="541" t="s">
        <v>94</v>
      </c>
      <c r="K1" s="541" t="s">
        <v>95</v>
      </c>
      <c r="L1" s="541" t="s">
        <v>131</v>
      </c>
    </row>
    <row r="2" spans="1:12" ht="14.25">
      <c r="A2" s="216"/>
      <c r="C2" s="77"/>
      <c r="D2" s="542"/>
      <c r="E2" s="542"/>
      <c r="F2" s="542"/>
      <c r="G2" s="542"/>
      <c r="H2" s="542"/>
      <c r="I2" s="542"/>
      <c r="J2" s="542"/>
      <c r="K2" s="542"/>
      <c r="L2" s="543"/>
    </row>
    <row r="3" spans="1:12" ht="14.25">
      <c r="A3" s="216"/>
      <c r="B3" s="544" t="s">
        <v>429</v>
      </c>
      <c r="C3" s="545"/>
      <c r="D3" s="546"/>
      <c r="E3" s="546"/>
      <c r="F3" s="546"/>
      <c r="G3" s="542"/>
      <c r="H3" s="542"/>
      <c r="I3" s="547"/>
      <c r="J3" s="547"/>
      <c r="K3" s="542"/>
      <c r="L3" s="543"/>
    </row>
    <row r="4" spans="1:12" ht="14.25">
      <c r="A4" s="216" t="s">
        <v>534</v>
      </c>
      <c r="B4" s="548" t="s">
        <v>601</v>
      </c>
      <c r="C4" s="549"/>
      <c r="D4" s="546"/>
      <c r="E4" s="546">
        <v>203.00872347917982</v>
      </c>
      <c r="F4" s="546">
        <v>201.26936625582863</v>
      </c>
      <c r="G4" s="542"/>
      <c r="H4" s="542"/>
      <c r="I4" s="542"/>
      <c r="J4" s="542"/>
      <c r="K4" s="542"/>
      <c r="L4" s="542"/>
    </row>
    <row r="5" spans="1:12" ht="14.25">
      <c r="A5" s="216"/>
      <c r="B5" s="548" t="s">
        <v>600</v>
      </c>
      <c r="C5" s="545"/>
      <c r="D5" s="546"/>
      <c r="E5" s="546">
        <v>201.67736140433644</v>
      </c>
      <c r="F5" s="546">
        <v>198.10333604420944</v>
      </c>
      <c r="G5" s="542"/>
      <c r="H5" s="542"/>
      <c r="I5" s="542"/>
      <c r="J5" s="542"/>
      <c r="K5" s="542"/>
      <c r="L5" s="543"/>
    </row>
    <row r="6" spans="1:12" ht="14.25">
      <c r="A6" s="216"/>
      <c r="B6" s="548" t="s">
        <v>476</v>
      </c>
      <c r="C6" s="545"/>
      <c r="D6" s="546"/>
      <c r="E6" s="546">
        <v>-2.6856783913068107</v>
      </c>
      <c r="F6" s="546">
        <v>-2.6380841416952396</v>
      </c>
      <c r="G6" s="542"/>
      <c r="H6" s="547"/>
      <c r="I6" s="547"/>
      <c r="J6" s="547"/>
      <c r="K6" s="542"/>
      <c r="L6" s="543"/>
    </row>
    <row r="7" spans="1:12" ht="14.25">
      <c r="A7" s="216"/>
      <c r="B7" s="548" t="s">
        <v>477</v>
      </c>
      <c r="C7" s="545"/>
      <c r="D7" s="546"/>
      <c r="E7" s="546">
        <v>0.8220383360458196</v>
      </c>
      <c r="F7" s="546">
        <v>0.8074705836735776</v>
      </c>
      <c r="G7" s="542"/>
      <c r="H7" s="547"/>
      <c r="I7" s="547"/>
      <c r="J7" s="542"/>
      <c r="K7" s="542"/>
      <c r="L7" s="543"/>
    </row>
    <row r="8" spans="1:12" ht="14.25">
      <c r="A8" s="216"/>
      <c r="B8" s="548" t="s">
        <v>478</v>
      </c>
      <c r="C8" s="545"/>
      <c r="D8" s="546"/>
      <c r="E8" s="546">
        <v>199.81372134907542</v>
      </c>
      <c r="F8" s="546">
        <v>196.2727224861878</v>
      </c>
      <c r="G8" s="542"/>
      <c r="H8" s="542"/>
      <c r="I8" s="542"/>
      <c r="J8" s="542"/>
      <c r="K8" s="542"/>
      <c r="L8" s="543"/>
    </row>
    <row r="9" spans="1:12" ht="14.25">
      <c r="A9" s="121"/>
      <c r="B9" s="548" t="s">
        <v>66</v>
      </c>
      <c r="C9" s="549"/>
      <c r="D9" s="546"/>
      <c r="E9" s="546">
        <v>-59.899922965771474</v>
      </c>
      <c r="F9" s="546">
        <v>-57.824929726172634</v>
      </c>
      <c r="G9" s="542"/>
      <c r="H9" s="542"/>
      <c r="I9" s="542"/>
      <c r="J9" s="542"/>
      <c r="K9" s="542"/>
      <c r="L9" s="542"/>
    </row>
    <row r="10" spans="1:12" ht="14.25">
      <c r="A10" s="121"/>
      <c r="B10" s="548" t="s">
        <v>479</v>
      </c>
      <c r="C10" s="549"/>
      <c r="D10" s="546"/>
      <c r="E10" s="546">
        <v>-57.214244574464665</v>
      </c>
      <c r="F10" s="546">
        <v>-55.186845584477396</v>
      </c>
      <c r="H10" s="542"/>
      <c r="I10" s="542"/>
      <c r="J10" s="542"/>
      <c r="K10" s="542"/>
      <c r="L10" s="542"/>
    </row>
    <row r="11" spans="1:12" ht="14.25">
      <c r="A11" s="121"/>
      <c r="B11" s="548" t="s">
        <v>67</v>
      </c>
      <c r="C11" s="549"/>
      <c r="D11" s="546"/>
      <c r="E11" s="546">
        <v>-19.52007812894028</v>
      </c>
      <c r="F11" s="546">
        <v>-20.643640668172594</v>
      </c>
      <c r="G11" s="542"/>
      <c r="H11" s="542"/>
      <c r="I11" s="542"/>
      <c r="J11" s="542"/>
      <c r="K11" s="542"/>
      <c r="L11" s="542"/>
    </row>
    <row r="12" spans="1:12" ht="14.25">
      <c r="A12" s="121"/>
      <c r="B12" s="548" t="s">
        <v>487</v>
      </c>
      <c r="C12" s="549"/>
      <c r="D12" s="546"/>
      <c r="E12" s="546">
        <v>-21.98005081727739</v>
      </c>
      <c r="F12" s="546">
        <v>-21.486231786199717</v>
      </c>
      <c r="G12" s="542"/>
      <c r="H12" s="542"/>
      <c r="I12" s="542"/>
      <c r="J12" s="542"/>
      <c r="K12" s="542"/>
      <c r="L12" s="542"/>
    </row>
    <row r="13" spans="1:12" ht="14.25">
      <c r="A13" s="550" t="s">
        <v>121</v>
      </c>
      <c r="B13" s="551"/>
      <c r="C13" s="549"/>
      <c r="D13" s="546"/>
      <c r="E13" s="546"/>
      <c r="F13" s="546"/>
      <c r="G13" s="542"/>
      <c r="H13" s="542"/>
      <c r="I13" s="542"/>
      <c r="J13" s="542"/>
      <c r="K13" s="542"/>
      <c r="L13" s="543"/>
    </row>
    <row r="14" spans="1:12" ht="14.25">
      <c r="A14" s="552"/>
      <c r="B14" s="545" t="s">
        <v>494</v>
      </c>
      <c r="C14" s="549"/>
      <c r="D14" s="546"/>
      <c r="E14" s="546">
        <v>7.106132523289223</v>
      </c>
      <c r="F14" s="546">
        <v>13.511593524679297</v>
      </c>
      <c r="G14" s="542"/>
      <c r="H14" s="542"/>
      <c r="I14" s="542"/>
      <c r="J14" s="542"/>
      <c r="K14" s="542"/>
      <c r="L14" s="543"/>
    </row>
    <row r="15" spans="1:12" ht="14.25">
      <c r="A15" s="552"/>
      <c r="B15" s="545" t="s">
        <v>493</v>
      </c>
      <c r="C15" s="549"/>
      <c r="D15" s="546"/>
      <c r="E15" s="546">
        <v>21.98005081727739</v>
      </c>
      <c r="F15" s="546">
        <v>21.48623178619972</v>
      </c>
      <c r="G15" s="542"/>
      <c r="H15" s="542"/>
      <c r="I15" s="542"/>
      <c r="J15" s="542"/>
      <c r="K15" s="542"/>
      <c r="L15" s="543"/>
    </row>
    <row r="16" spans="1:12" ht="14.25">
      <c r="A16" s="552"/>
      <c r="B16" s="545" t="s">
        <v>142</v>
      </c>
      <c r="C16" s="549"/>
      <c r="D16" s="546"/>
      <c r="E16" s="546">
        <v>43.96010163455478</v>
      </c>
      <c r="F16" s="546">
        <v>42.97246357239944</v>
      </c>
      <c r="G16" s="542"/>
      <c r="H16" s="542"/>
      <c r="I16" s="542"/>
      <c r="J16" s="542"/>
      <c r="K16" s="542"/>
      <c r="L16" s="543"/>
    </row>
    <row r="17" spans="1:12" ht="14.25">
      <c r="A17" s="121"/>
      <c r="B17" s="121"/>
      <c r="C17" s="553"/>
      <c r="D17" s="542"/>
      <c r="E17" s="542"/>
      <c r="F17" s="542"/>
      <c r="G17" s="542"/>
      <c r="H17" s="542"/>
      <c r="I17" s="542"/>
      <c r="J17" s="542"/>
      <c r="K17" s="542"/>
      <c r="L17" s="542"/>
    </row>
    <row r="18" spans="1:12" ht="14.25">
      <c r="A18" s="121"/>
      <c r="B18" s="554" t="s">
        <v>785</v>
      </c>
      <c r="C18" s="555"/>
      <c r="D18" s="556"/>
      <c r="E18" s="556">
        <v>198.839</v>
      </c>
      <c r="F18" s="556">
        <v>209.78947368421052</v>
      </c>
      <c r="G18" s="556">
        <v>240.70196165323173</v>
      </c>
      <c r="H18" s="542"/>
      <c r="I18" s="542"/>
      <c r="J18" s="542"/>
      <c r="K18" s="542"/>
      <c r="L18" s="542"/>
    </row>
    <row r="19" spans="1:7" ht="14.25">
      <c r="A19" s="121"/>
      <c r="B19" s="554" t="s">
        <v>153</v>
      </c>
      <c r="C19" s="555"/>
      <c r="D19" s="556"/>
      <c r="E19" s="556">
        <v>-66.1857562119559</v>
      </c>
      <c r="F19" s="556">
        <v>-70.766532981846</v>
      </c>
      <c r="G19" s="556">
        <v>-74.81031195937221</v>
      </c>
    </row>
    <row r="20" spans="1:7" ht="14.25">
      <c r="A20" s="121"/>
      <c r="B20" s="554" t="s">
        <v>67</v>
      </c>
      <c r="C20" s="555"/>
      <c r="D20" s="556"/>
      <c r="E20" s="556">
        <v>-20.076</v>
      </c>
      <c r="F20" s="556">
        <v>-23.468810916179336</v>
      </c>
      <c r="G20" s="556">
        <v>-24.739805980187636</v>
      </c>
    </row>
    <row r="21" spans="1:12" ht="14.25">
      <c r="A21" s="121"/>
      <c r="B21" s="554"/>
      <c r="C21" s="555"/>
      <c r="D21" s="556"/>
      <c r="E21" s="556"/>
      <c r="F21" s="556"/>
      <c r="G21" s="556"/>
      <c r="H21" s="542"/>
      <c r="I21" s="542"/>
      <c r="J21" s="542"/>
      <c r="K21" s="542"/>
      <c r="L21" s="542"/>
    </row>
    <row r="22" spans="1:12" ht="14.25">
      <c r="A22" s="121"/>
      <c r="B22" s="554" t="s">
        <v>8</v>
      </c>
      <c r="C22" s="555"/>
      <c r="D22" s="556"/>
      <c r="E22" s="556">
        <v>-18.463137148026174</v>
      </c>
      <c r="F22" s="556">
        <v>-17.169526825266185</v>
      </c>
      <c r="G22" s="556">
        <v>-16.441195821247128</v>
      </c>
      <c r="H22" s="542"/>
      <c r="I22" s="542"/>
      <c r="J22" s="542"/>
      <c r="K22" s="542"/>
      <c r="L22" s="542"/>
    </row>
    <row r="23" spans="1:7" ht="14.25">
      <c r="A23" s="121"/>
      <c r="B23" s="554" t="s">
        <v>57</v>
      </c>
      <c r="C23" s="555"/>
      <c r="D23" s="556"/>
      <c r="E23" s="556">
        <v>-17.0811275803927</v>
      </c>
      <c r="F23" s="556">
        <v>-17.339777805012147</v>
      </c>
      <c r="G23" s="556">
        <v>-17.194274401620255</v>
      </c>
    </row>
    <row r="24" spans="1:7" ht="14.25">
      <c r="A24" s="121"/>
      <c r="B24" s="554" t="s">
        <v>727</v>
      </c>
      <c r="C24" s="555"/>
      <c r="D24" s="556"/>
      <c r="E24" s="556">
        <v>15.460509178921104</v>
      </c>
      <c r="F24" s="556">
        <v>15.737684465704262</v>
      </c>
      <c r="G24" s="556">
        <v>18.508288885953217</v>
      </c>
    </row>
    <row r="25" spans="1:12" ht="14.25">
      <c r="A25" s="121"/>
      <c r="B25" s="77" t="s">
        <v>350</v>
      </c>
      <c r="C25" s="553"/>
      <c r="D25" s="542"/>
      <c r="E25" s="542"/>
      <c r="F25" s="542"/>
      <c r="G25" s="557">
        <v>217.8</v>
      </c>
      <c r="H25" s="542"/>
      <c r="I25" s="542"/>
      <c r="J25" s="542"/>
      <c r="K25" s="542"/>
      <c r="L25" s="542"/>
    </row>
    <row r="26" spans="1:12" ht="14.25">
      <c r="A26" s="121"/>
      <c r="B26" s="77"/>
      <c r="C26" s="553"/>
      <c r="D26" s="542"/>
      <c r="E26" s="542"/>
      <c r="F26" s="542"/>
      <c r="G26" s="557"/>
      <c r="H26" s="542"/>
      <c r="I26" s="542"/>
      <c r="J26" s="542"/>
      <c r="K26" s="542"/>
      <c r="L26" s="542"/>
    </row>
    <row r="27" spans="1:12" ht="14.25">
      <c r="A27" s="121"/>
      <c r="B27" s="554" t="s">
        <v>586</v>
      </c>
      <c r="C27" s="555"/>
      <c r="D27" s="556"/>
      <c r="E27" s="556">
        <v>34.10003356431726</v>
      </c>
      <c r="F27" s="556">
        <v>34.02934485610372</v>
      </c>
      <c r="G27" s="556">
        <v>0</v>
      </c>
      <c r="H27" s="542"/>
      <c r="I27" s="542"/>
      <c r="J27" s="542"/>
      <c r="K27" s="542"/>
      <c r="L27" s="542"/>
    </row>
    <row r="28" spans="1:7" ht="14.25">
      <c r="A28" s="121"/>
      <c r="B28" s="554" t="s">
        <v>584</v>
      </c>
      <c r="C28" s="555"/>
      <c r="D28" s="556"/>
      <c r="E28" s="556">
        <v>28.48608068685176</v>
      </c>
      <c r="F28" s="556">
        <v>38.8386658090287</v>
      </c>
      <c r="G28" s="556">
        <v>35.20075180591488</v>
      </c>
    </row>
    <row r="29" spans="1:12" ht="14.25">
      <c r="A29" s="121"/>
      <c r="B29" s="554" t="s">
        <v>587</v>
      </c>
      <c r="C29" s="555"/>
      <c r="D29" s="556"/>
      <c r="E29" s="556">
        <v>9.859688665566303</v>
      </c>
      <c r="F29" s="556">
        <v>8.942747835592375</v>
      </c>
      <c r="G29" s="556">
        <v>0</v>
      </c>
      <c r="H29" s="542"/>
      <c r="I29" s="542"/>
      <c r="J29" s="542"/>
      <c r="K29" s="542"/>
      <c r="L29" s="542"/>
    </row>
    <row r="30" spans="1:7" ht="14.25">
      <c r="A30" s="121"/>
      <c r="B30" s="554" t="s">
        <v>585</v>
      </c>
      <c r="C30" s="555"/>
      <c r="D30" s="556"/>
      <c r="E30" s="556">
        <v>20.861881541959676</v>
      </c>
      <c r="F30" s="556">
        <v>20.72844069445985</v>
      </c>
      <c r="G30" s="556">
        <v>22.14988081615964</v>
      </c>
    </row>
    <row r="31" spans="1:12" ht="14.25">
      <c r="A31" s="121"/>
      <c r="B31" s="77" t="s">
        <v>482</v>
      </c>
      <c r="C31" s="553"/>
      <c r="D31" s="542"/>
      <c r="E31" s="542">
        <v>49.34796222881144</v>
      </c>
      <c r="F31" s="542">
        <v>59.567106503488546</v>
      </c>
      <c r="G31" s="542">
        <v>57.350632622074514</v>
      </c>
      <c r="H31" s="542"/>
      <c r="I31" s="542"/>
      <c r="J31" s="542"/>
      <c r="K31" s="542"/>
      <c r="L31" s="542"/>
    </row>
    <row r="32" spans="1:12" ht="14.25">
      <c r="A32" s="121"/>
      <c r="B32" s="559" t="s">
        <v>310</v>
      </c>
      <c r="C32" s="560"/>
      <c r="D32" s="561"/>
      <c r="E32" s="561">
        <v>28.486080686851764</v>
      </c>
      <c r="F32" s="561">
        <v>38.8386658090287</v>
      </c>
      <c r="G32" s="542"/>
      <c r="H32" s="542"/>
      <c r="I32" s="542"/>
      <c r="J32" s="542"/>
      <c r="K32" s="542"/>
      <c r="L32" s="542"/>
    </row>
    <row r="33" spans="1:12" ht="14.25">
      <c r="A33" s="121"/>
      <c r="B33" s="559" t="s">
        <v>311</v>
      </c>
      <c r="C33" s="560"/>
      <c r="D33" s="561"/>
      <c r="E33" s="561">
        <v>20.861881541959676</v>
      </c>
      <c r="F33" s="561">
        <v>20.72844069445985</v>
      </c>
      <c r="G33" s="542"/>
      <c r="H33" s="542"/>
      <c r="I33" s="542"/>
      <c r="J33" s="542"/>
      <c r="K33" s="542"/>
      <c r="L33" s="542"/>
    </row>
    <row r="34" spans="1:12" ht="14.25">
      <c r="A34" s="121"/>
      <c r="B34" s="77"/>
      <c r="C34" s="553"/>
      <c r="D34" s="542"/>
      <c r="E34" s="542"/>
      <c r="F34" s="542"/>
      <c r="G34" s="558"/>
      <c r="H34" s="542"/>
      <c r="I34" s="542"/>
      <c r="J34" s="542"/>
      <c r="K34" s="542"/>
      <c r="L34" s="542"/>
    </row>
    <row r="35" spans="1:12" ht="14.25">
      <c r="A35" s="121"/>
      <c r="B35" s="77"/>
      <c r="C35" s="553"/>
      <c r="D35" s="542"/>
      <c r="E35" s="542"/>
      <c r="F35" s="542"/>
      <c r="G35" s="558"/>
      <c r="H35" s="542"/>
      <c r="I35" s="542"/>
      <c r="J35" s="542"/>
      <c r="K35" s="542"/>
      <c r="L35" s="542"/>
    </row>
    <row r="36" spans="1:13" ht="14.25">
      <c r="A36" s="121"/>
      <c r="B36" s="216" t="s">
        <v>154</v>
      </c>
      <c r="C36" s="553"/>
      <c r="D36" s="542"/>
      <c r="E36" s="542"/>
      <c r="F36" s="542"/>
      <c r="G36" s="558"/>
      <c r="H36" s="542"/>
      <c r="I36" s="542"/>
      <c r="J36" s="542"/>
      <c r="K36" s="542"/>
      <c r="L36" s="542"/>
      <c r="M36" s="71"/>
    </row>
    <row r="37" spans="1:13" ht="14.25">
      <c r="A37" s="121"/>
      <c r="B37" s="71" t="s">
        <v>153</v>
      </c>
      <c r="C37" s="553"/>
      <c r="D37" s="542"/>
      <c r="E37" s="542"/>
      <c r="F37" s="542"/>
      <c r="G37" s="558"/>
      <c r="H37" s="557">
        <v>-66.82998278062205</v>
      </c>
      <c r="I37" s="557">
        <v>-75.88681149637044</v>
      </c>
      <c r="J37" s="557">
        <v>-65.12808488252861</v>
      </c>
      <c r="K37" s="557">
        <v>-63.26062124170756</v>
      </c>
      <c r="L37" s="557">
        <v>-62.496513608238374</v>
      </c>
      <c r="M37" s="71"/>
    </row>
    <row r="38" spans="1:13" ht="14.25">
      <c r="A38" s="121"/>
      <c r="B38" s="71" t="s">
        <v>727</v>
      </c>
      <c r="C38" s="553"/>
      <c r="D38" s="542"/>
      <c r="E38" s="542"/>
      <c r="F38" s="542"/>
      <c r="G38" s="558"/>
      <c r="H38" s="557">
        <v>17.195016553496558</v>
      </c>
      <c r="I38" s="557">
        <v>14.17303770403915</v>
      </c>
      <c r="J38" s="557">
        <v>16.520402917955614</v>
      </c>
      <c r="K38" s="557">
        <v>19.982418234144014</v>
      </c>
      <c r="L38" s="557">
        <v>17.798642325152258</v>
      </c>
      <c r="M38" s="71"/>
    </row>
    <row r="39" spans="1:13" ht="14.25">
      <c r="A39" s="121"/>
      <c r="B39" s="71" t="s">
        <v>155</v>
      </c>
      <c r="C39" s="553"/>
      <c r="D39" s="542"/>
      <c r="E39" s="542"/>
      <c r="F39" s="542"/>
      <c r="G39" s="558"/>
      <c r="H39" s="557">
        <v>53.60377610707499</v>
      </c>
      <c r="I39" s="557">
        <v>50.508252068513066</v>
      </c>
      <c r="J39" s="557">
        <v>47.66470870016484</v>
      </c>
      <c r="K39" s="557">
        <v>47.94532704868503</v>
      </c>
      <c r="L39" s="557">
        <v>45.06476443908802</v>
      </c>
      <c r="M39" s="71"/>
    </row>
    <row r="40" spans="1:13" ht="14.25">
      <c r="A40" s="121"/>
      <c r="B40" s="71" t="s">
        <v>156</v>
      </c>
      <c r="C40" s="553"/>
      <c r="D40" s="542"/>
      <c r="E40" s="542"/>
      <c r="F40" s="542"/>
      <c r="G40" s="558"/>
      <c r="H40" s="557">
        <v>19.209459041214803</v>
      </c>
      <c r="I40" s="557">
        <v>19.428697998509143</v>
      </c>
      <c r="J40" s="557">
        <v>19.26085521526498</v>
      </c>
      <c r="K40" s="557">
        <v>18.56118067374658</v>
      </c>
      <c r="L40" s="557">
        <v>18.955049356424574</v>
      </c>
      <c r="M40" s="71"/>
    </row>
    <row r="41" spans="1:13" ht="14.25">
      <c r="A41" s="121"/>
      <c r="B41" s="71" t="s">
        <v>820</v>
      </c>
      <c r="C41" s="553"/>
      <c r="D41" s="542"/>
      <c r="E41" s="542"/>
      <c r="F41" s="542"/>
      <c r="G41" s="558"/>
      <c r="H41" s="557">
        <v>87.10689975830677</v>
      </c>
      <c r="I41" s="557">
        <v>80.93473780934279</v>
      </c>
      <c r="J41" s="557">
        <v>80.28292858673557</v>
      </c>
      <c r="K41" s="557">
        <v>83.63268735197498</v>
      </c>
      <c r="L41" s="557">
        <v>78.87312677579177</v>
      </c>
      <c r="M41" s="71"/>
    </row>
    <row r="42" spans="1:13" ht="14.25">
      <c r="A42" s="121"/>
      <c r="B42" s="63" t="s">
        <v>158</v>
      </c>
      <c r="C42" s="553"/>
      <c r="D42" s="542"/>
      <c r="E42" s="542"/>
      <c r="F42" s="542"/>
      <c r="G42" s="558"/>
      <c r="H42" s="557">
        <v>73.19521940147145</v>
      </c>
      <c r="I42" s="557">
        <v>72.41972314381647</v>
      </c>
      <c r="J42" s="557">
        <v>71.87414674961597</v>
      </c>
      <c r="K42" s="557">
        <v>72.63841582363897</v>
      </c>
      <c r="L42" s="557">
        <v>71.87088187321561</v>
      </c>
      <c r="M42" s="71"/>
    </row>
    <row r="43" spans="1:13" ht="14.25">
      <c r="A43" s="121"/>
      <c r="B43" s="63" t="s">
        <v>159</v>
      </c>
      <c r="C43" s="553"/>
      <c r="D43" s="542"/>
      <c r="E43" s="542"/>
      <c r="F43" s="542"/>
      <c r="G43" s="558"/>
      <c r="H43" s="557">
        <v>15.543157515272501</v>
      </c>
      <c r="I43" s="557">
        <v>12.684951041565593</v>
      </c>
      <c r="J43" s="557">
        <v>16.1757948826151</v>
      </c>
      <c r="K43" s="557">
        <v>19.84236288335272</v>
      </c>
      <c r="L43" s="557">
        <v>17.507362193999995</v>
      </c>
      <c r="M43" s="71"/>
    </row>
    <row r="44" spans="1:13" ht="14.25">
      <c r="A44" s="121"/>
      <c r="B44" s="63" t="s">
        <v>67</v>
      </c>
      <c r="C44" s="553"/>
      <c r="D44" s="542"/>
      <c r="E44" s="542"/>
      <c r="F44" s="542"/>
      <c r="G44" s="558"/>
      <c r="H44" s="557">
        <v>-24.739805980187636</v>
      </c>
      <c r="I44" s="557">
        <v>-24.739805980187636</v>
      </c>
      <c r="J44" s="557">
        <v>-24.739805980187636</v>
      </c>
      <c r="K44" s="557">
        <v>-24.739805980187636</v>
      </c>
      <c r="L44" s="557">
        <v>-24.739805980187636</v>
      </c>
      <c r="M44" s="71"/>
    </row>
    <row r="45" spans="1:13" ht="14.25">
      <c r="A45" s="121"/>
      <c r="B45" s="63" t="s">
        <v>57</v>
      </c>
      <c r="C45" s="553"/>
      <c r="D45" s="542"/>
      <c r="E45" s="542"/>
      <c r="F45" s="542"/>
      <c r="G45" s="558"/>
      <c r="H45" s="557">
        <v>-14.114711045980181</v>
      </c>
      <c r="I45" s="557">
        <v>-15.219970832635886</v>
      </c>
      <c r="J45" s="557">
        <v>-16.086148034493213</v>
      </c>
      <c r="K45" s="557">
        <v>-16.64232951303774</v>
      </c>
      <c r="L45" s="557">
        <v>-17.918949507276828</v>
      </c>
      <c r="M45" s="71"/>
    </row>
    <row r="46" spans="1:13" ht="14.25">
      <c r="A46" s="121"/>
      <c r="B46" s="71" t="s">
        <v>157</v>
      </c>
      <c r="C46" s="553"/>
      <c r="D46" s="542"/>
      <c r="E46" s="542"/>
      <c r="F46" s="542"/>
      <c r="G46" s="558"/>
      <c r="H46" s="557">
        <v>8.662440668284676</v>
      </c>
      <c r="I46" s="557">
        <v>8.662440668284676</v>
      </c>
      <c r="J46" s="557">
        <v>8.662440668284676</v>
      </c>
      <c r="K46" s="557">
        <v>8.662440668284676</v>
      </c>
      <c r="L46" s="557">
        <v>8.662440668284676</v>
      </c>
      <c r="M46" s="71"/>
    </row>
    <row r="47" spans="1:13" ht="14.25">
      <c r="A47" s="121"/>
      <c r="B47" s="71" t="s">
        <v>819</v>
      </c>
      <c r="C47" s="553"/>
      <c r="D47" s="542"/>
      <c r="E47" s="143"/>
      <c r="F47" s="143"/>
      <c r="G47" s="143"/>
      <c r="H47" s="510">
        <v>-16.06328392099008</v>
      </c>
      <c r="I47" s="510">
        <v>-15.017332616150911</v>
      </c>
      <c r="J47" s="510">
        <v>-14.99441160418454</v>
      </c>
      <c r="K47" s="510">
        <v>-15.538045966869289</v>
      </c>
      <c r="L47" s="510">
        <v>-15.270450483371667</v>
      </c>
      <c r="M47" s="71"/>
    </row>
    <row r="48" spans="1:13" ht="14.25">
      <c r="A48" s="121"/>
      <c r="B48" s="216"/>
      <c r="C48" s="553"/>
      <c r="D48" s="542"/>
      <c r="E48" s="542"/>
      <c r="F48" s="542"/>
      <c r="G48" s="558"/>
      <c r="H48" s="542"/>
      <c r="I48" s="542"/>
      <c r="J48" s="542"/>
      <c r="K48" s="542"/>
      <c r="L48" s="542"/>
      <c r="M48" s="71"/>
    </row>
    <row r="49" spans="1:12" ht="14.25">
      <c r="A49" s="121"/>
      <c r="B49" s="122" t="s">
        <v>419</v>
      </c>
      <c r="C49" s="553"/>
      <c r="D49" s="542"/>
      <c r="E49" s="542"/>
      <c r="F49" s="542"/>
      <c r="G49" s="542"/>
      <c r="H49" s="542"/>
      <c r="I49" s="542"/>
      <c r="J49" s="542"/>
      <c r="K49" s="542"/>
      <c r="L49" s="542"/>
    </row>
    <row r="50" spans="1:12" ht="14.25">
      <c r="A50" s="121"/>
      <c r="B50" s="77" t="s">
        <v>160</v>
      </c>
      <c r="C50" s="553"/>
      <c r="D50" s="542"/>
      <c r="E50" s="543">
        <v>16.013774551603845</v>
      </c>
      <c r="F50" s="543">
        <v>13.865097756250437</v>
      </c>
      <c r="G50" s="543">
        <v>11.441586858220285</v>
      </c>
      <c r="H50" s="543">
        <v>9.432189313765791</v>
      </c>
      <c r="I50" s="543">
        <v>6.894226865879018</v>
      </c>
      <c r="J50" s="543">
        <v>6.1404370035110585</v>
      </c>
      <c r="K50" s="543">
        <v>5.563258442941641</v>
      </c>
      <c r="L50" s="543">
        <v>5.713035171273285</v>
      </c>
    </row>
    <row r="51" spans="1:12" ht="14.25">
      <c r="A51" s="121"/>
      <c r="B51" s="77"/>
      <c r="C51" s="553"/>
      <c r="D51" s="542"/>
      <c r="E51" s="542"/>
      <c r="F51" s="542"/>
      <c r="G51" s="542"/>
      <c r="H51" s="542"/>
      <c r="I51" s="542"/>
      <c r="J51" s="542"/>
      <c r="K51" s="542"/>
      <c r="L51" s="542"/>
    </row>
    <row r="52" spans="1:12" ht="14.25">
      <c r="A52" s="121"/>
      <c r="B52" s="77"/>
      <c r="C52" s="553"/>
      <c r="D52" s="542"/>
      <c r="E52" s="542"/>
      <c r="F52" s="542"/>
      <c r="G52" s="542"/>
      <c r="H52" s="542"/>
      <c r="I52" s="542"/>
      <c r="J52" s="542"/>
      <c r="K52" s="542"/>
      <c r="L52" s="542"/>
    </row>
    <row r="53" spans="1:12" ht="14.25">
      <c r="A53" s="121"/>
      <c r="B53" s="110" t="s">
        <v>161</v>
      </c>
      <c r="C53" s="553"/>
      <c r="D53" s="542"/>
      <c r="E53" s="542"/>
      <c r="F53" s="542"/>
      <c r="G53" s="542"/>
      <c r="H53" s="542"/>
      <c r="I53" s="542"/>
      <c r="J53" s="542"/>
      <c r="K53" s="542"/>
      <c r="L53" s="542"/>
    </row>
    <row r="54" spans="1:12" ht="14.25">
      <c r="A54" s="121"/>
      <c r="B54" s="545" t="s">
        <v>535</v>
      </c>
      <c r="C54" s="549"/>
      <c r="D54" s="546"/>
      <c r="E54" s="546">
        <v>3.7810653831051217</v>
      </c>
      <c r="F54" s="546">
        <v>3.5749975264066665</v>
      </c>
      <c r="G54" s="563">
        <v>8.662440668284676</v>
      </c>
      <c r="H54" s="542"/>
      <c r="I54" s="542"/>
      <c r="J54" s="542"/>
      <c r="K54" s="542"/>
      <c r="L54" s="542"/>
    </row>
    <row r="55" spans="1:12" ht="14.25">
      <c r="A55" s="121"/>
      <c r="B55" s="554" t="s">
        <v>141</v>
      </c>
      <c r="C55" s="555"/>
      <c r="D55" s="556"/>
      <c r="E55" s="556">
        <v>8.7</v>
      </c>
      <c r="F55" s="556">
        <v>8.6</v>
      </c>
      <c r="G55" s="556">
        <v>8.3</v>
      </c>
      <c r="H55" s="542"/>
      <c r="I55" s="542"/>
      <c r="J55" s="542"/>
      <c r="K55" s="542"/>
      <c r="L55" s="542"/>
    </row>
    <row r="56" spans="1:7" ht="14.25">
      <c r="A56" s="121"/>
      <c r="B56" s="564" t="s">
        <v>768</v>
      </c>
      <c r="C56" s="565"/>
      <c r="D56" s="566"/>
      <c r="E56" s="566">
        <v>8.707</v>
      </c>
      <c r="F56" s="566">
        <v>8.662440668284676</v>
      </c>
      <c r="G56" s="566">
        <v>8.662440668284676</v>
      </c>
    </row>
    <row r="57" spans="1:7" ht="14.25">
      <c r="A57" s="121"/>
      <c r="B57" s="545" t="s">
        <v>537</v>
      </c>
      <c r="C57" s="549"/>
      <c r="D57" s="546"/>
      <c r="E57" s="546">
        <v>1.8761489324516352</v>
      </c>
      <c r="F57" s="546">
        <v>1.8283832138630176</v>
      </c>
      <c r="G57" s="563">
        <v>6.211626555033488</v>
      </c>
    </row>
    <row r="58" spans="1:12" s="71" customFormat="1" ht="14.25">
      <c r="A58" s="121"/>
      <c r="B58" s="121"/>
      <c r="C58" s="562"/>
      <c r="D58" s="558"/>
      <c r="E58" s="558"/>
      <c r="F58" s="558"/>
      <c r="G58" s="172"/>
      <c r="H58" s="558"/>
      <c r="I58" s="558"/>
      <c r="J58" s="558"/>
      <c r="K58" s="558"/>
      <c r="L58" s="558"/>
    </row>
    <row r="59" spans="1:12" ht="14.25">
      <c r="A59" s="121"/>
      <c r="B59" s="554" t="s">
        <v>659</v>
      </c>
      <c r="C59" s="555"/>
      <c r="D59" s="556"/>
      <c r="E59" s="556">
        <v>4.070366320973159</v>
      </c>
      <c r="F59" s="556">
        <v>4.887426477160827</v>
      </c>
      <c r="G59" s="556">
        <v>5.555425953179244</v>
      </c>
      <c r="H59" s="542"/>
      <c r="I59" s="542"/>
      <c r="J59" s="542"/>
      <c r="K59" s="542"/>
      <c r="L59" s="542"/>
    </row>
    <row r="60" spans="1:12" ht="14.25">
      <c r="A60" s="121"/>
      <c r="B60" s="564" t="s">
        <v>300</v>
      </c>
      <c r="C60" s="565"/>
      <c r="D60" s="566"/>
      <c r="E60" s="567">
        <v>0.233</v>
      </c>
      <c r="F60" s="567">
        <v>0.32</v>
      </c>
      <c r="G60" s="567">
        <v>0.32</v>
      </c>
      <c r="H60" s="69"/>
      <c r="I60" s="542"/>
      <c r="J60" s="542"/>
      <c r="K60" s="542"/>
      <c r="L60" s="542"/>
    </row>
    <row r="61" spans="1:12" ht="14.25">
      <c r="A61" s="121"/>
      <c r="B61" s="77" t="s">
        <v>570</v>
      </c>
      <c r="C61" s="553"/>
      <c r="D61" s="542"/>
      <c r="E61" s="566">
        <v>3.934121896078175</v>
      </c>
      <c r="F61" s="63">
        <v>0</v>
      </c>
      <c r="G61" s="542">
        <v>0.5295262789467912</v>
      </c>
      <c r="H61" s="542"/>
      <c r="I61" s="542"/>
      <c r="J61" s="542"/>
      <c r="K61" s="542"/>
      <c r="L61" s="542"/>
    </row>
    <row r="62" spans="1:12" ht="14.25">
      <c r="A62" s="121"/>
      <c r="B62" s="63" t="s">
        <v>431</v>
      </c>
      <c r="C62" s="553"/>
      <c r="D62" s="542"/>
      <c r="E62" s="542"/>
      <c r="F62" s="542"/>
      <c r="G62" s="566">
        <v>2.257304801331281</v>
      </c>
      <c r="H62" s="542"/>
      <c r="I62" s="542"/>
      <c r="J62" s="542"/>
      <c r="K62" s="542"/>
      <c r="L62" s="543"/>
    </row>
    <row r="63" spans="1:12" ht="14.25">
      <c r="A63" s="121"/>
      <c r="B63" s="63" t="s">
        <v>658</v>
      </c>
      <c r="C63" s="553"/>
      <c r="D63" s="542"/>
      <c r="E63" s="542">
        <v>3.6095272359873323</v>
      </c>
      <c r="F63" s="542">
        <v>4.819237416546982</v>
      </c>
      <c r="G63" s="542">
        <v>10.347300885598125</v>
      </c>
      <c r="H63" s="542"/>
      <c r="I63" s="542"/>
      <c r="J63" s="542"/>
      <c r="K63" s="542"/>
      <c r="L63" s="543"/>
    </row>
    <row r="64" spans="2:12" ht="14.25">
      <c r="B64" s="63" t="s">
        <v>666</v>
      </c>
      <c r="E64" s="70">
        <v>0.0873229463747879</v>
      </c>
      <c r="F64" s="70">
        <v>0.25182026265410307</v>
      </c>
      <c r="G64" s="70">
        <v>0.3238323643603898</v>
      </c>
      <c r="H64" s="542"/>
      <c r="I64" s="542"/>
      <c r="J64" s="542"/>
      <c r="K64" s="542"/>
      <c r="L64" s="543"/>
    </row>
    <row r="65" spans="1:12" ht="14.25">
      <c r="A65" s="121"/>
      <c r="B65" s="77" t="s">
        <v>495</v>
      </c>
      <c r="C65" s="77"/>
      <c r="D65" s="542">
        <v>1024.6382620464274</v>
      </c>
      <c r="E65" s="542"/>
      <c r="F65" s="542"/>
      <c r="G65" s="542"/>
      <c r="H65" s="542"/>
      <c r="I65" s="542"/>
      <c r="J65" s="542"/>
      <c r="K65" s="542"/>
      <c r="L65" s="543"/>
    </row>
    <row r="66" spans="2:7" ht="14.25">
      <c r="B66" s="63" t="s">
        <v>550</v>
      </c>
      <c r="E66" s="556">
        <v>-0.375</v>
      </c>
      <c r="F66" s="556">
        <v>-1.6569200779727096</v>
      </c>
      <c r="G66" s="556">
        <v>-1.2349478851992448</v>
      </c>
    </row>
    <row r="67" spans="2:7" ht="14.25">
      <c r="B67" s="63" t="s">
        <v>551</v>
      </c>
      <c r="E67" s="556">
        <v>0</v>
      </c>
      <c r="F67" s="556">
        <v>0</v>
      </c>
      <c r="G67" s="556">
        <v>0</v>
      </c>
    </row>
    <row r="68" ht="14.25"/>
    <row r="69" ht="14.25">
      <c r="B69" s="69"/>
    </row>
    <row r="70" spans="2:7" ht="14.25">
      <c r="B70" s="554" t="s">
        <v>785</v>
      </c>
      <c r="E70" s="568">
        <v>198.839</v>
      </c>
      <c r="F70" s="568">
        <v>209.78947368421052</v>
      </c>
      <c r="G70" s="568">
        <v>240.70196165323173</v>
      </c>
    </row>
    <row r="71" spans="2:7" ht="14.25">
      <c r="B71" s="554" t="s">
        <v>66</v>
      </c>
      <c r="E71" s="568">
        <v>-66.1857562119559</v>
      </c>
      <c r="F71" s="568">
        <v>-70.766532981846</v>
      </c>
      <c r="G71" s="568">
        <v>-74.81031195937221</v>
      </c>
    </row>
    <row r="72" spans="2:12" ht="14.25">
      <c r="B72" s="554" t="s">
        <v>67</v>
      </c>
      <c r="E72" s="568">
        <v>-20.076</v>
      </c>
      <c r="F72" s="568">
        <v>-23.468810916179336</v>
      </c>
      <c r="G72" s="568">
        <v>-24.739805980187636</v>
      </c>
      <c r="H72" s="569"/>
      <c r="I72" s="569"/>
      <c r="J72" s="569"/>
      <c r="K72" s="569"/>
      <c r="L72" s="569"/>
    </row>
    <row r="73" spans="2:12" ht="14.25">
      <c r="B73" s="554" t="s">
        <v>8</v>
      </c>
      <c r="E73" s="568">
        <v>-19.068930148</v>
      </c>
      <c r="F73" s="568">
        <v>-18.050481921001094</v>
      </c>
      <c r="G73" s="568">
        <v>-17.540242717767555</v>
      </c>
      <c r="H73" s="71"/>
      <c r="I73" s="71"/>
      <c r="J73" s="71"/>
      <c r="K73" s="71"/>
      <c r="L73" s="71"/>
    </row>
    <row r="74" spans="2:12" ht="14.25">
      <c r="B74" s="554" t="s">
        <v>754</v>
      </c>
      <c r="E74" s="568">
        <v>-4.523554160125588</v>
      </c>
      <c r="F74" s="568">
        <v>-7.24745318730281</v>
      </c>
      <c r="G74" s="568">
        <v>-5.185667618889561</v>
      </c>
      <c r="H74" s="71"/>
      <c r="I74" s="71"/>
      <c r="J74" s="71"/>
      <c r="K74" s="71"/>
      <c r="L74" s="71"/>
    </row>
    <row r="75" spans="2:12" ht="14.25">
      <c r="B75" s="554" t="s">
        <v>57</v>
      </c>
      <c r="E75" s="568">
        <v>-17.0811275803927</v>
      </c>
      <c r="F75" s="568">
        <v>-17.339777805012147</v>
      </c>
      <c r="G75" s="568">
        <v>-17.194274401620255</v>
      </c>
      <c r="H75" s="569"/>
      <c r="I75" s="569"/>
      <c r="J75" s="569"/>
      <c r="K75" s="569"/>
      <c r="L75" s="569"/>
    </row>
    <row r="76" spans="2:12" ht="14.25">
      <c r="B76" s="554" t="s">
        <v>162</v>
      </c>
      <c r="E76" s="568">
        <v>15.460509178921104</v>
      </c>
      <c r="F76" s="568">
        <v>15.737684465704262</v>
      </c>
      <c r="G76" s="568">
        <v>18.508288885953217</v>
      </c>
      <c r="H76" s="558"/>
      <c r="I76" s="558"/>
      <c r="J76" s="558"/>
      <c r="K76" s="558"/>
      <c r="L76" s="558"/>
    </row>
    <row r="77" spans="2:12" ht="14.25">
      <c r="B77" s="554" t="s">
        <v>586</v>
      </c>
      <c r="E77" s="568">
        <v>34.10003356431726</v>
      </c>
      <c r="F77" s="568">
        <v>34.02934485610372</v>
      </c>
      <c r="G77" s="568">
        <v>0</v>
      </c>
      <c r="H77" s="71"/>
      <c r="I77" s="71"/>
      <c r="J77" s="71"/>
      <c r="K77" s="71"/>
      <c r="L77" s="71"/>
    </row>
    <row r="78" spans="2:12" ht="14.25">
      <c r="B78" s="554" t="s">
        <v>584</v>
      </c>
      <c r="E78" s="568">
        <v>28.48608068685176</v>
      </c>
      <c r="F78" s="568">
        <v>38.8386658090287</v>
      </c>
      <c r="G78" s="568">
        <v>35.20075180591488</v>
      </c>
      <c r="H78" s="558"/>
      <c r="I78" s="558"/>
      <c r="J78" s="558"/>
      <c r="K78" s="558"/>
      <c r="L78" s="558"/>
    </row>
    <row r="79" spans="2:12" ht="14.25">
      <c r="B79" s="554" t="s">
        <v>587</v>
      </c>
      <c r="E79" s="568">
        <v>9.859688665566303</v>
      </c>
      <c r="F79" s="568">
        <v>8.942747835592375</v>
      </c>
      <c r="G79" s="568">
        <v>0</v>
      </c>
      <c r="H79" s="71"/>
      <c r="I79" s="71"/>
      <c r="J79" s="71"/>
      <c r="K79" s="71"/>
      <c r="L79" s="71"/>
    </row>
    <row r="80" spans="2:12" ht="14.25">
      <c r="B80" s="554" t="s">
        <v>585</v>
      </c>
      <c r="E80" s="568">
        <v>20.861881541959676</v>
      </c>
      <c r="F80" s="568">
        <v>20.72844069445985</v>
      </c>
      <c r="G80" s="568">
        <v>22.149880816159637</v>
      </c>
      <c r="H80" s="558"/>
      <c r="I80" s="558"/>
      <c r="J80" s="558"/>
      <c r="K80" s="558"/>
      <c r="L80" s="558"/>
    </row>
    <row r="81" spans="2:12" ht="14.25">
      <c r="B81" s="554" t="s">
        <v>588</v>
      </c>
      <c r="E81" s="568">
        <v>-0.375</v>
      </c>
      <c r="F81" s="568">
        <v>-1.6569200779727096</v>
      </c>
      <c r="G81" s="568">
        <v>-1.2349478851992448</v>
      </c>
      <c r="H81" s="71"/>
      <c r="I81" s="71"/>
      <c r="J81" s="71"/>
      <c r="K81" s="71"/>
      <c r="L81" s="71"/>
    </row>
    <row r="82" spans="2:12" ht="14.25">
      <c r="B82" s="554" t="s">
        <v>589</v>
      </c>
      <c r="E82" s="568">
        <v>0</v>
      </c>
      <c r="F82" s="568">
        <v>0</v>
      </c>
      <c r="G82" s="568">
        <v>0</v>
      </c>
      <c r="H82" s="71"/>
      <c r="I82" s="71"/>
      <c r="J82" s="71"/>
      <c r="K82" s="71"/>
      <c r="L82" s="71"/>
    </row>
    <row r="83" spans="2:12" ht="14.25">
      <c r="B83" s="554" t="s">
        <v>599</v>
      </c>
      <c r="E83" s="568">
        <v>8.7</v>
      </c>
      <c r="F83" s="568">
        <v>8.6</v>
      </c>
      <c r="G83" s="568">
        <v>8.3</v>
      </c>
      <c r="H83" s="569"/>
      <c r="I83" s="569"/>
      <c r="J83" s="569"/>
      <c r="K83" s="569"/>
      <c r="L83" s="569"/>
    </row>
    <row r="84" spans="2:12" ht="14.25">
      <c r="B84" s="554" t="s">
        <v>163</v>
      </c>
      <c r="E84" s="568">
        <v>1.6540539368747909</v>
      </c>
      <c r="F84" s="568">
        <v>1.6119426345615386</v>
      </c>
      <c r="G84" s="568">
        <v>0</v>
      </c>
      <c r="H84" s="569"/>
      <c r="I84" s="569"/>
      <c r="J84" s="569"/>
      <c r="K84" s="569"/>
      <c r="L84" s="569"/>
    </row>
    <row r="85" spans="2:7" ht="14.25">
      <c r="B85" s="554" t="s">
        <v>607</v>
      </c>
      <c r="E85" s="568">
        <v>4.240344994663668</v>
      </c>
      <c r="F85" s="568">
        <v>5.389531083152138</v>
      </c>
      <c r="G85" s="568">
        <v>6.12394465345372</v>
      </c>
    </row>
    <row r="86" spans="2:7" ht="14.25">
      <c r="B86" s="554" t="s">
        <v>481</v>
      </c>
      <c r="E86" s="70">
        <v>4.070366320973159</v>
      </c>
      <c r="F86" s="70">
        <v>4.887426477160827</v>
      </c>
      <c r="G86" s="70">
        <v>5.5554259531792445</v>
      </c>
    </row>
    <row r="87" spans="2:7" ht="14.25">
      <c r="B87" s="554" t="s">
        <v>657</v>
      </c>
      <c r="E87" s="568">
        <v>3.6095272359873327</v>
      </c>
      <c r="F87" s="568">
        <v>4.819237416546982</v>
      </c>
      <c r="G87" s="568">
        <v>10.347300885598125</v>
      </c>
    </row>
    <row r="88" spans="2:7" ht="14.25">
      <c r="B88" s="63" t="s">
        <v>661</v>
      </c>
      <c r="E88" s="542">
        <v>0.0873229463747879</v>
      </c>
      <c r="F88" s="542">
        <v>0.25182026265410307</v>
      </c>
      <c r="G88" s="542">
        <v>0.32383236436038976</v>
      </c>
    </row>
    <row r="89" spans="5:7" ht="14.25">
      <c r="E89" s="542"/>
      <c r="F89" s="542"/>
      <c r="G89" s="542"/>
    </row>
    <row r="90" spans="5:7" ht="14.25">
      <c r="E90" s="542"/>
      <c r="F90" s="542"/>
      <c r="G90" s="542"/>
    </row>
    <row r="91" spans="2:7" ht="14.25">
      <c r="B91" s="69" t="s">
        <v>164</v>
      </c>
      <c r="E91" s="542"/>
      <c r="F91" s="542"/>
      <c r="G91" s="542"/>
    </row>
    <row r="92" spans="3:4" ht="14.25">
      <c r="C92" s="555"/>
      <c r="D92" s="556"/>
    </row>
    <row r="93" spans="2:7" ht="14.25">
      <c r="B93" s="554" t="s">
        <v>178</v>
      </c>
      <c r="C93" s="555"/>
      <c r="D93" s="556"/>
      <c r="E93" s="556">
        <v>-0.7241692307692305</v>
      </c>
      <c r="F93" s="556">
        <v>-1.1260683760683758</v>
      </c>
      <c r="G93" s="556">
        <v>-1.087747278883013</v>
      </c>
    </row>
    <row r="94" spans="2:7" ht="14.25">
      <c r="B94" s="554" t="s">
        <v>179</v>
      </c>
      <c r="C94" s="555"/>
      <c r="D94" s="556"/>
      <c r="E94" s="556">
        <v>1.34</v>
      </c>
      <c r="F94" s="556">
        <v>-0.24561403508771917</v>
      </c>
      <c r="G94" s="556">
        <v>0.5549639205225549</v>
      </c>
    </row>
    <row r="95" spans="2:7" ht="14.25">
      <c r="B95" s="554" t="s">
        <v>180</v>
      </c>
      <c r="C95" s="555"/>
      <c r="D95" s="556"/>
      <c r="E95" s="556">
        <v>-4.314945145964199</v>
      </c>
      <c r="F95" s="556">
        <v>-4.316316585113577</v>
      </c>
      <c r="G95" s="556">
        <v>-3.5129323664990317</v>
      </c>
    </row>
    <row r="96" spans="2:7" ht="14.25">
      <c r="B96" s="554" t="s">
        <v>192</v>
      </c>
      <c r="C96" s="555"/>
      <c r="D96" s="556"/>
      <c r="E96" s="556">
        <v>-0.255</v>
      </c>
      <c r="F96" s="556">
        <v>-1.6569200779727096</v>
      </c>
      <c r="G96" s="556">
        <v>-1.2349478851992448</v>
      </c>
    </row>
    <row r="97" spans="2:7" ht="14.25">
      <c r="B97" s="554" t="s">
        <v>149</v>
      </c>
      <c r="C97" s="555"/>
      <c r="D97" s="556"/>
      <c r="E97" s="556">
        <v>0.08333333333333334</v>
      </c>
      <c r="F97" s="556">
        <v>0.09746588693957116</v>
      </c>
      <c r="G97" s="556">
        <v>0.09499599116917268</v>
      </c>
    </row>
    <row r="98" spans="2:12" ht="25.5">
      <c r="B98" s="238" t="s">
        <v>231</v>
      </c>
      <c r="E98" s="570">
        <v>0.9599139518354235</v>
      </c>
      <c r="F98" s="570">
        <v>0.9068370516387023</v>
      </c>
      <c r="G98" s="570">
        <v>0.9071646246910725</v>
      </c>
      <c r="H98" s="557">
        <v>-0.574401421216819</v>
      </c>
      <c r="I98" s="557">
        <v>-0.5116617064247885</v>
      </c>
      <c r="J98" s="557">
        <v>-0.6340767532616944</v>
      </c>
      <c r="K98" s="557">
        <v>-0.7284022249107495</v>
      </c>
      <c r="L98" s="557">
        <v>-0.6766632671356088</v>
      </c>
    </row>
    <row r="99" spans="2:7" ht="14.25">
      <c r="B99" s="582"/>
      <c r="E99" s="575"/>
      <c r="F99" s="575"/>
      <c r="G99" s="575"/>
    </row>
    <row r="100" spans="2:7" ht="14.25">
      <c r="B100" s="582"/>
      <c r="E100" s="575"/>
      <c r="F100" s="575"/>
      <c r="G100" s="575"/>
    </row>
    <row r="101" spans="2:7" ht="14.25">
      <c r="B101" s="582"/>
      <c r="E101" s="575"/>
      <c r="F101" s="575"/>
      <c r="G101" s="575"/>
    </row>
    <row r="102" ht="14.25">
      <c r="B102" s="69" t="s">
        <v>165</v>
      </c>
    </row>
    <row r="103" spans="2:12" ht="14.25">
      <c r="B103" s="63" t="s">
        <v>636</v>
      </c>
      <c r="E103" s="571" t="s">
        <v>21</v>
      </c>
      <c r="F103" s="571" t="s">
        <v>21</v>
      </c>
      <c r="G103" s="571" t="s">
        <v>21</v>
      </c>
      <c r="H103" s="571" t="s">
        <v>21</v>
      </c>
      <c r="I103" s="571" t="s">
        <v>21</v>
      </c>
      <c r="J103" s="571" t="s">
        <v>21</v>
      </c>
      <c r="K103" s="571" t="s">
        <v>21</v>
      </c>
      <c r="L103" s="571" t="s">
        <v>21</v>
      </c>
    </row>
    <row r="104" spans="2:12" ht="14.25">
      <c r="B104" s="63" t="s">
        <v>647</v>
      </c>
      <c r="E104" s="563">
        <v>414</v>
      </c>
      <c r="F104" s="563">
        <v>425.4</v>
      </c>
      <c r="G104" s="563">
        <v>442.1</v>
      </c>
      <c r="H104" s="563">
        <v>455.26986117330944</v>
      </c>
      <c r="I104" s="563">
        <v>464.0630846165329</v>
      </c>
      <c r="J104" s="563">
        <v>476.3081353779543</v>
      </c>
      <c r="K104" s="563">
        <v>491.7081353779543</v>
      </c>
      <c r="L104" s="563">
        <v>503.10813537795434</v>
      </c>
    </row>
    <row r="105" spans="2:13" ht="14.25">
      <c r="B105" s="63" t="s">
        <v>111</v>
      </c>
      <c r="M105" s="77"/>
    </row>
    <row r="106" ht="14.25"/>
    <row r="107" spans="2:12" ht="14.25">
      <c r="B107" s="63" t="s">
        <v>0</v>
      </c>
      <c r="E107" s="563">
        <v>1</v>
      </c>
      <c r="F107" s="563">
        <v>1</v>
      </c>
      <c r="G107" s="563">
        <v>1</v>
      </c>
      <c r="H107" s="563">
        <v>1</v>
      </c>
      <c r="I107" s="563">
        <v>1</v>
      </c>
      <c r="J107" s="563">
        <v>1</v>
      </c>
      <c r="K107" s="563">
        <v>1</v>
      </c>
      <c r="L107" s="563">
        <v>1</v>
      </c>
    </row>
    <row r="108" spans="2:12" ht="14.25">
      <c r="B108" s="63" t="s">
        <v>756</v>
      </c>
      <c r="E108" s="563">
        <v>5.2755519137649465</v>
      </c>
      <c r="F108" s="563">
        <v>8.251161669862494</v>
      </c>
      <c r="G108" s="563">
        <v>12.346340342124767</v>
      </c>
      <c r="H108" s="563">
        <v>15.240523380878276</v>
      </c>
      <c r="I108" s="563">
        <v>15.81148424698828</v>
      </c>
      <c r="J108" s="563">
        <v>16.40385954570994</v>
      </c>
      <c r="K108" s="563">
        <v>16.911181213201008</v>
      </c>
      <c r="L108" s="563">
        <v>17.51877153881771</v>
      </c>
    </row>
    <row r="109" spans="2:12" ht="14.25">
      <c r="B109" s="63" t="s">
        <v>637</v>
      </c>
      <c r="E109" s="563">
        <v>627.724306276119</v>
      </c>
      <c r="F109" s="563">
        <v>627.724306276119</v>
      </c>
      <c r="G109" s="563">
        <v>627.724306276119</v>
      </c>
      <c r="H109" s="563">
        <v>627.724306276119</v>
      </c>
      <c r="I109" s="563">
        <v>627.724306276119</v>
      </c>
      <c r="J109" s="563">
        <v>627.724306276119</v>
      </c>
      <c r="K109" s="563">
        <v>627.724306276119</v>
      </c>
      <c r="L109" s="563">
        <v>627.724306276119</v>
      </c>
    </row>
    <row r="110" spans="2:12" ht="14.25">
      <c r="B110" s="63" t="s">
        <v>648</v>
      </c>
      <c r="E110" s="572">
        <v>23.000467783401803</v>
      </c>
      <c r="F110" s="572">
        <v>-0.006692216597969036</v>
      </c>
      <c r="G110" s="572">
        <v>0.018957783402015593</v>
      </c>
      <c r="H110" s="572">
        <v>-0.017942216597930383</v>
      </c>
      <c r="I110" s="572">
        <v>0.007237783401933484</v>
      </c>
      <c r="J110" s="572">
        <v>-0.0033422165979573037</v>
      </c>
      <c r="K110" s="572">
        <v>-0.04812221659813076</v>
      </c>
      <c r="L110" s="572">
        <v>-0.046842216598065534</v>
      </c>
    </row>
    <row r="111" spans="2:12" ht="14.25">
      <c r="B111" s="63" t="s">
        <v>649</v>
      </c>
      <c r="E111" s="571">
        <v>4</v>
      </c>
      <c r="F111" s="571" t="s">
        <v>21</v>
      </c>
      <c r="G111" s="571" t="s">
        <v>21</v>
      </c>
      <c r="H111" s="571" t="s">
        <v>21</v>
      </c>
      <c r="I111" s="571" t="s">
        <v>21</v>
      </c>
      <c r="J111" s="571" t="s">
        <v>21</v>
      </c>
      <c r="K111" s="571" t="s">
        <v>21</v>
      </c>
      <c r="L111" s="571" t="s">
        <v>21</v>
      </c>
    </row>
    <row r="112" spans="2:12" ht="14.25">
      <c r="B112" s="63" t="s">
        <v>638</v>
      </c>
      <c r="E112" s="563">
        <v>22</v>
      </c>
      <c r="F112" s="563">
        <v>22</v>
      </c>
      <c r="G112" s="563">
        <v>22</v>
      </c>
      <c r="H112" s="563">
        <v>22</v>
      </c>
      <c r="I112" s="563">
        <v>22</v>
      </c>
      <c r="J112" s="563">
        <v>22</v>
      </c>
      <c r="K112" s="563">
        <v>22</v>
      </c>
      <c r="L112" s="563">
        <v>22</v>
      </c>
    </row>
    <row r="113" ht="14.25"/>
    <row r="114" spans="2:12" ht="14.25">
      <c r="B114" s="63" t="s">
        <v>639</v>
      </c>
      <c r="E114" s="573">
        <v>-107</v>
      </c>
      <c r="F114" s="573">
        <v>-106.12105870267492</v>
      </c>
      <c r="G114" s="573">
        <v>-108.01820433159348</v>
      </c>
      <c r="H114" s="573">
        <v>-103.49549934848237</v>
      </c>
      <c r="I114" s="573">
        <v>-104.67567504525992</v>
      </c>
      <c r="J114" s="573">
        <v>-103.89722989160542</v>
      </c>
      <c r="K114" s="573">
        <v>-104.13883391256121</v>
      </c>
      <c r="L114" s="573">
        <v>-103.51237392269954</v>
      </c>
    </row>
    <row r="115" spans="2:12" ht="14.25">
      <c r="B115" s="63" t="s">
        <v>640</v>
      </c>
      <c r="E115" s="574">
        <v>-19.95986475177964</v>
      </c>
      <c r="F115" s="574">
        <v>-15.657112138887669</v>
      </c>
      <c r="G115" s="574">
        <v>-15.657112138887669</v>
      </c>
      <c r="H115" s="574">
        <v>-15.657112138887669</v>
      </c>
      <c r="I115" s="574">
        <v>-15.657112138887669</v>
      </c>
      <c r="J115" s="574">
        <v>-15.657112138887669</v>
      </c>
      <c r="K115" s="574">
        <v>-15.657112138887669</v>
      </c>
      <c r="L115" s="574">
        <v>-15.657112138887669</v>
      </c>
    </row>
    <row r="116" spans="2:12" ht="14.25">
      <c r="B116" s="63" t="s">
        <v>641</v>
      </c>
      <c r="E116" s="574">
        <v>-35.04021133575093</v>
      </c>
      <c r="F116" s="574">
        <v>-34.652207640737934</v>
      </c>
      <c r="G116" s="574">
        <v>-35.25740764073793</v>
      </c>
      <c r="H116" s="574">
        <v>-35.85370764073794</v>
      </c>
      <c r="I116" s="574">
        <v>-36.43220764073794</v>
      </c>
      <c r="J116" s="574">
        <v>-36.975107640737946</v>
      </c>
      <c r="K116" s="574">
        <v>-37.50020764073794</v>
      </c>
      <c r="L116" s="574">
        <v>-38.05200764073794</v>
      </c>
    </row>
    <row r="117" spans="5:12" ht="14.25">
      <c r="E117" s="77"/>
      <c r="F117" s="77"/>
      <c r="G117" s="77"/>
      <c r="H117" s="77"/>
      <c r="I117" s="77"/>
      <c r="J117" s="77"/>
      <c r="K117" s="77"/>
      <c r="L117" s="77"/>
    </row>
    <row r="118" spans="2:12" ht="14.25">
      <c r="B118" s="63" t="s">
        <v>650</v>
      </c>
      <c r="E118" s="574">
        <v>-283</v>
      </c>
      <c r="F118" s="574">
        <v>-280.6753234846448</v>
      </c>
      <c r="G118" s="574">
        <v>-285.6930077181397</v>
      </c>
      <c r="H118" s="574">
        <v>-273.7310870618739</v>
      </c>
      <c r="I118" s="574">
        <v>-276.8524863346594</v>
      </c>
      <c r="J118" s="574">
        <v>-274.7936080310685</v>
      </c>
      <c r="K118" s="574">
        <v>-275.432616796774</v>
      </c>
      <c r="L118" s="574">
        <v>-273.7757179450838</v>
      </c>
    </row>
    <row r="119" spans="2:12" ht="14.25">
      <c r="B119" s="63" t="s">
        <v>345</v>
      </c>
      <c r="E119" s="574" t="s">
        <v>21</v>
      </c>
      <c r="F119" s="574" t="s">
        <v>21</v>
      </c>
      <c r="G119" s="574" t="s">
        <v>21</v>
      </c>
      <c r="H119" s="574" t="s">
        <v>21</v>
      </c>
      <c r="I119" s="574" t="s">
        <v>21</v>
      </c>
      <c r="J119" s="574" t="s">
        <v>21</v>
      </c>
      <c r="K119" s="574" t="s">
        <v>21</v>
      </c>
      <c r="L119" s="574" t="s">
        <v>21</v>
      </c>
    </row>
    <row r="120" spans="2:12" ht="14.25">
      <c r="B120" s="63" t="s">
        <v>642</v>
      </c>
      <c r="E120" s="574">
        <v>-92</v>
      </c>
      <c r="F120" s="574">
        <v>-97.812803695013</v>
      </c>
      <c r="G120" s="574">
        <v>-104.007603695013</v>
      </c>
      <c r="H120" s="574">
        <v>-110.11130369501299</v>
      </c>
      <c r="I120" s="574">
        <v>-116.03280369501299</v>
      </c>
      <c r="J120" s="574">
        <v>-121.58990369501299</v>
      </c>
      <c r="K120" s="574">
        <v>-126.96480369501296</v>
      </c>
      <c r="L120" s="574">
        <v>-132.613003695013</v>
      </c>
    </row>
    <row r="121" spans="2:12" ht="14.25">
      <c r="B121" s="63" t="s">
        <v>788</v>
      </c>
      <c r="E121" s="574">
        <v>-40</v>
      </c>
      <c r="F121" s="574">
        <v>-42.956576622316376</v>
      </c>
      <c r="G121" s="574">
        <v>-45.282058710035905</v>
      </c>
      <c r="H121" s="574">
        <v>-23.940835200273206</v>
      </c>
      <c r="I121" s="574">
        <v>-2.318445075318074</v>
      </c>
      <c r="J121" s="574">
        <v>19.081541320964202</v>
      </c>
      <c r="K121" s="574">
        <v>40.48469608839044</v>
      </c>
      <c r="L121" s="574">
        <v>61.781190344918045</v>
      </c>
    </row>
    <row r="122" spans="2:12" ht="14.25">
      <c r="B122" s="63" t="s">
        <v>69</v>
      </c>
      <c r="E122" s="574" t="s">
        <v>21</v>
      </c>
      <c r="F122" s="574">
        <v>-0.8278706704263546</v>
      </c>
      <c r="G122" s="574">
        <v>-3.9645308976915796</v>
      </c>
      <c r="H122" s="574">
        <v>-22.13396187748516</v>
      </c>
      <c r="I122" s="574">
        <v>-20.852735765732135</v>
      </c>
      <c r="J122" s="574">
        <v>-22.649754821562738</v>
      </c>
      <c r="K122" s="574">
        <v>-23.27769605030592</v>
      </c>
      <c r="L122" s="574">
        <v>-23.56012713910708</v>
      </c>
    </row>
    <row r="123" spans="2:12" ht="14.25">
      <c r="B123" s="63" t="s">
        <v>346</v>
      </c>
      <c r="E123" s="574" t="s">
        <v>21</v>
      </c>
      <c r="F123" s="574" t="s">
        <v>21</v>
      </c>
      <c r="G123" s="574" t="s">
        <v>21</v>
      </c>
      <c r="H123" s="574" t="s">
        <v>21</v>
      </c>
      <c r="I123" s="574" t="s">
        <v>21</v>
      </c>
      <c r="J123" s="574" t="s">
        <v>21</v>
      </c>
      <c r="K123" s="574" t="s">
        <v>21</v>
      </c>
      <c r="L123" s="574" t="s">
        <v>21</v>
      </c>
    </row>
    <row r="124" spans="2:12" ht="14.25">
      <c r="B124" s="63" t="s">
        <v>643</v>
      </c>
      <c r="E124" s="574">
        <v>-4</v>
      </c>
      <c r="F124" s="574">
        <v>-3.4784075000000003</v>
      </c>
      <c r="G124" s="574">
        <v>-2.7489075000000005</v>
      </c>
      <c r="H124" s="574">
        <v>-1.8571075000000006</v>
      </c>
      <c r="I124" s="574">
        <v>-0.8403075000000007</v>
      </c>
      <c r="J124" s="574">
        <v>0.4764924999999994</v>
      </c>
      <c r="K124" s="574">
        <v>0.9682924999999993</v>
      </c>
      <c r="L124" s="574">
        <v>1.4600924999999991</v>
      </c>
    </row>
    <row r="125" spans="2:12" ht="14.25">
      <c r="B125" s="63" t="s">
        <v>653</v>
      </c>
      <c r="E125" s="574">
        <v>-5</v>
      </c>
      <c r="F125" s="574">
        <v>-0.8733174757281548</v>
      </c>
      <c r="G125" s="574">
        <v>0.22146944015969572</v>
      </c>
      <c r="H125" s="574">
        <v>0.6496805206606506</v>
      </c>
      <c r="I125" s="574">
        <v>0.9644105221817688</v>
      </c>
      <c r="J125" s="574">
        <v>1.1015477777465261</v>
      </c>
      <c r="K125" s="574">
        <v>1.2386850333112835</v>
      </c>
      <c r="L125" s="574">
        <v>1.375822288876041</v>
      </c>
    </row>
    <row r="126" spans="2:12" ht="14.25">
      <c r="B126" s="63" t="s">
        <v>117</v>
      </c>
      <c r="E126" s="574" t="s">
        <v>21</v>
      </c>
      <c r="F126" s="574" t="s">
        <v>21</v>
      </c>
      <c r="G126" s="574" t="s">
        <v>21</v>
      </c>
      <c r="H126" s="574" t="s">
        <v>21</v>
      </c>
      <c r="I126" s="574" t="s">
        <v>21</v>
      </c>
      <c r="J126" s="574" t="s">
        <v>21</v>
      </c>
      <c r="K126" s="574" t="s">
        <v>21</v>
      </c>
      <c r="L126" s="574" t="s">
        <v>21</v>
      </c>
    </row>
    <row r="127" spans="5:12" ht="14.25">
      <c r="E127" s="77"/>
      <c r="F127" s="77"/>
      <c r="G127" s="77"/>
      <c r="H127" s="77"/>
      <c r="I127" s="77"/>
      <c r="J127" s="77"/>
      <c r="K127" s="77"/>
      <c r="L127" s="77"/>
    </row>
    <row r="128" spans="2:12" ht="14.25">
      <c r="B128" s="63" t="s">
        <v>654</v>
      </c>
      <c r="E128" s="574">
        <v>521.659</v>
      </c>
      <c r="F128" s="574">
        <v>521.659</v>
      </c>
      <c r="G128" s="574">
        <v>521.659</v>
      </c>
      <c r="H128" s="574">
        <v>521.659</v>
      </c>
      <c r="I128" s="574">
        <v>521.659</v>
      </c>
      <c r="J128" s="574">
        <v>521.659</v>
      </c>
      <c r="K128" s="574">
        <v>521.659</v>
      </c>
      <c r="L128" s="574">
        <v>521.659</v>
      </c>
    </row>
    <row r="129" spans="2:12" ht="14.25">
      <c r="B129" s="63" t="s">
        <v>96</v>
      </c>
      <c r="E129" s="574">
        <v>-10.658750114244711</v>
      </c>
      <c r="F129" s="574">
        <v>-20.344902201045844</v>
      </c>
      <c r="G129" s="574">
        <v>-16.87675879029395</v>
      </c>
      <c r="H129" s="574">
        <v>13.426814671616025</v>
      </c>
      <c r="I129" s="574">
        <v>36.24975024961566</v>
      </c>
      <c r="J129" s="574">
        <v>66.87082436302047</v>
      </c>
      <c r="K129" s="574">
        <v>97.35690403809811</v>
      </c>
      <c r="L129" s="574">
        <v>127.09213362855795</v>
      </c>
    </row>
    <row r="130" spans="2:12" ht="14.25">
      <c r="B130" s="63" t="s">
        <v>645</v>
      </c>
      <c r="E130" s="574" t="s">
        <v>21</v>
      </c>
      <c r="F130" s="574" t="s">
        <v>21</v>
      </c>
      <c r="G130" s="574" t="s">
        <v>21</v>
      </c>
      <c r="H130" s="574" t="s">
        <v>21</v>
      </c>
      <c r="I130" s="574" t="s">
        <v>21</v>
      </c>
      <c r="J130" s="574" t="s">
        <v>21</v>
      </c>
      <c r="K130" s="574" t="s">
        <v>21</v>
      </c>
      <c r="L130" s="574" t="s">
        <v>21</v>
      </c>
    </row>
    <row r="131" spans="5:7" ht="14.25">
      <c r="E131" s="575"/>
      <c r="F131" s="575"/>
      <c r="G131" s="575"/>
    </row>
    <row r="132" spans="2:5" ht="14.25">
      <c r="B132" s="63" t="s">
        <v>655</v>
      </c>
      <c r="C132" s="124"/>
      <c r="D132" s="522"/>
      <c r="E132" s="116">
        <v>1</v>
      </c>
    </row>
    <row r="133" spans="2:5" ht="14.25">
      <c r="B133" s="63" t="s">
        <v>347</v>
      </c>
      <c r="E133" s="82"/>
    </row>
    <row r="134" spans="2:5" ht="14.25">
      <c r="B134" s="63" t="s">
        <v>349</v>
      </c>
      <c r="E134" s="82"/>
    </row>
    <row r="135" spans="2:7" ht="14.25">
      <c r="B135" s="63" t="s">
        <v>368</v>
      </c>
      <c r="F135" s="568">
        <v>-1.6569200779727096</v>
      </c>
      <c r="G135" s="568">
        <v>-1.2349478851992448</v>
      </c>
    </row>
    <row r="136" spans="2:7" ht="14.25">
      <c r="B136" s="63" t="s">
        <v>499</v>
      </c>
      <c r="F136" s="568">
        <v>0</v>
      </c>
      <c r="G136" s="568">
        <v>0</v>
      </c>
    </row>
    <row r="137" spans="6:7" ht="14.25">
      <c r="F137" s="575"/>
      <c r="G137" s="575"/>
    </row>
    <row r="138" spans="2:7" ht="14.25">
      <c r="B138" s="63" t="s">
        <v>745</v>
      </c>
      <c r="F138" s="575"/>
      <c r="G138" s="575"/>
    </row>
    <row r="139" spans="2:7" ht="14.25">
      <c r="B139" s="63" t="s">
        <v>746</v>
      </c>
      <c r="F139" s="575"/>
      <c r="G139" s="568">
        <v>0</v>
      </c>
    </row>
    <row r="140" spans="2:7" ht="14.25">
      <c r="B140" s="63" t="s">
        <v>747</v>
      </c>
      <c r="G140" s="576">
        <v>1</v>
      </c>
    </row>
    <row r="143" ht="14.25">
      <c r="B143" s="216" t="s">
        <v>166</v>
      </c>
    </row>
    <row r="145" ht="14.25">
      <c r="B145" s="63" t="s">
        <v>196</v>
      </c>
    </row>
    <row r="146" spans="2:6" ht="14.25">
      <c r="B146" s="63" t="s">
        <v>197</v>
      </c>
      <c r="E146" s="577">
        <v>7.106132523289223</v>
      </c>
      <c r="F146" s="577">
        <v>13.511593524679297</v>
      </c>
    </row>
    <row r="147" spans="2:6" ht="14.25">
      <c r="B147" s="63" t="s">
        <v>148</v>
      </c>
      <c r="E147" s="577">
        <v>15.460509178921104</v>
      </c>
      <c r="F147" s="577">
        <v>15.737684465704262</v>
      </c>
    </row>
    <row r="148" spans="2:6" ht="14.25">
      <c r="B148" s="63" t="s">
        <v>198</v>
      </c>
      <c r="E148" s="577">
        <v>8.354376655631881</v>
      </c>
      <c r="F148" s="577">
        <v>2.2260909410249656</v>
      </c>
    </row>
    <row r="149" spans="5:6" ht="14.25">
      <c r="E149" s="70"/>
      <c r="F149" s="70"/>
    </row>
    <row r="150" spans="2:6" ht="14.25">
      <c r="B150" s="63" t="s">
        <v>199</v>
      </c>
      <c r="E150" s="70"/>
      <c r="F150" s="70"/>
    </row>
    <row r="151" spans="2:6" ht="14.25">
      <c r="B151" s="63" t="s">
        <v>197</v>
      </c>
      <c r="E151" s="577">
        <v>9.859688665566303</v>
      </c>
      <c r="F151" s="577">
        <v>8.942747835592375</v>
      </c>
    </row>
    <row r="152" spans="2:6" ht="14.25">
      <c r="B152" s="63" t="s">
        <v>148</v>
      </c>
      <c r="E152" s="577">
        <v>20.861881541959676</v>
      </c>
      <c r="F152" s="577">
        <v>20.72844069445985</v>
      </c>
    </row>
    <row r="153" spans="2:6" ht="14.25">
      <c r="B153" s="63" t="s">
        <v>303</v>
      </c>
      <c r="E153" s="578">
        <v>0</v>
      </c>
      <c r="F153" s="578">
        <v>0</v>
      </c>
    </row>
    <row r="154" spans="2:6" ht="14.25">
      <c r="B154" s="63" t="s">
        <v>304</v>
      </c>
      <c r="E154" s="577">
        <v>20.861881541959676</v>
      </c>
      <c r="F154" s="577">
        <v>20.72844069445985</v>
      </c>
    </row>
    <row r="155" spans="2:6" ht="14.25">
      <c r="B155" s="63" t="s">
        <v>198</v>
      </c>
      <c r="E155" s="577">
        <v>11.002192876393373</v>
      </c>
      <c r="F155" s="577">
        <v>11.785692858867474</v>
      </c>
    </row>
    <row r="156" spans="5:6" ht="14.25">
      <c r="E156" s="70"/>
      <c r="F156" s="70"/>
    </row>
    <row r="157" spans="2:6" ht="14.25">
      <c r="B157" s="63" t="s">
        <v>200</v>
      </c>
      <c r="E157" s="70"/>
      <c r="F157" s="70"/>
    </row>
    <row r="158" spans="2:6" ht="14.25">
      <c r="B158" s="63" t="s">
        <v>201</v>
      </c>
      <c r="E158" s="577">
        <v>12.035976856072374</v>
      </c>
      <c r="F158" s="577">
        <v>17.982967442475484</v>
      </c>
    </row>
    <row r="159" spans="2:6" ht="14.25">
      <c r="B159" s="63" t="s">
        <v>202</v>
      </c>
      <c r="E159" s="577">
        <v>31.392546388097628</v>
      </c>
      <c r="F159" s="577">
        <v>31.994751242367922</v>
      </c>
    </row>
    <row r="160" spans="2:6" ht="14.25">
      <c r="B160" s="63" t="s">
        <v>205</v>
      </c>
      <c r="E160" s="577">
        <v>19.356569532025254</v>
      </c>
      <c r="F160" s="577">
        <v>14.011783799892438</v>
      </c>
    </row>
    <row r="161" spans="5:6" ht="14.25">
      <c r="E161" s="70"/>
      <c r="F161" s="70"/>
    </row>
    <row r="162" spans="2:7" ht="14.25">
      <c r="B162" s="63" t="s">
        <v>541</v>
      </c>
      <c r="D162" s="89"/>
      <c r="E162" s="579">
        <v>0</v>
      </c>
      <c r="F162" s="579">
        <v>0</v>
      </c>
      <c r="G162" s="63" t="s">
        <v>167</v>
      </c>
    </row>
    <row r="163" spans="2:7" ht="14.25">
      <c r="B163" s="63" t="s">
        <v>542</v>
      </c>
      <c r="D163" s="89"/>
      <c r="E163" s="579">
        <v>16.187268590471014</v>
      </c>
      <c r="F163" s="579">
        <v>15.203387226504907</v>
      </c>
      <c r="G163" s="63" t="s">
        <v>167</v>
      </c>
    </row>
    <row r="164" spans="2:7" ht="14.25">
      <c r="B164" s="63" t="s">
        <v>543</v>
      </c>
      <c r="D164" s="89"/>
      <c r="E164" s="579">
        <v>2.694001658115183</v>
      </c>
      <c r="F164" s="579">
        <v>2.534479349762217</v>
      </c>
      <c r="G164" s="63" t="s">
        <v>167</v>
      </c>
    </row>
    <row r="165" spans="2:7" ht="14.25">
      <c r="B165" s="63" t="s">
        <v>336</v>
      </c>
      <c r="D165" s="89"/>
      <c r="E165" s="579">
        <v>0</v>
      </c>
      <c r="F165" s="579">
        <v>0</v>
      </c>
      <c r="G165" s="63" t="s">
        <v>167</v>
      </c>
    </row>
    <row r="166" spans="5:6" ht="14.25">
      <c r="E166" s="70"/>
      <c r="F166" s="70"/>
    </row>
    <row r="167" ht="14.25">
      <c r="B167" s="63" t="s">
        <v>210</v>
      </c>
    </row>
    <row r="168" spans="2:7" ht="14.25">
      <c r="B168" s="63" t="s">
        <v>211</v>
      </c>
      <c r="G168" s="577">
        <v>18.50828888595322</v>
      </c>
    </row>
    <row r="169" spans="2:7" ht="14.25">
      <c r="B169" s="63" t="s">
        <v>212</v>
      </c>
      <c r="G169" s="577">
        <v>-0.7357053809671825</v>
      </c>
    </row>
    <row r="170" spans="2:7" ht="14.25">
      <c r="B170" s="63" t="s">
        <v>215</v>
      </c>
      <c r="G170" s="577">
        <v>17.772583504986038</v>
      </c>
    </row>
    <row r="171" spans="2:7" ht="14.25">
      <c r="B171" s="63" t="s">
        <v>217</v>
      </c>
      <c r="G171" s="577">
        <v>22.179880816159642</v>
      </c>
    </row>
    <row r="172" spans="2:7" ht="14.25">
      <c r="B172" s="63" t="s">
        <v>218</v>
      </c>
      <c r="G172" s="577">
        <v>-1.8078396921342232</v>
      </c>
    </row>
    <row r="173" spans="2:7" ht="14.25">
      <c r="B173" s="63" t="s">
        <v>224</v>
      </c>
      <c r="G173" s="577">
        <v>20.37204112402542</v>
      </c>
    </row>
    <row r="174" spans="2:7" ht="14.25">
      <c r="B174" s="63" t="s">
        <v>213</v>
      </c>
      <c r="G174" s="577">
        <v>35.20075180591488</v>
      </c>
    </row>
    <row r="175" spans="2:7" ht="14.25">
      <c r="B175" s="63" t="s">
        <v>214</v>
      </c>
      <c r="G175" s="577">
        <v>0</v>
      </c>
    </row>
    <row r="176" spans="2:7" ht="14.25">
      <c r="B176" s="63" t="s">
        <v>216</v>
      </c>
      <c r="G176" s="577">
        <v>35.20075180591488</v>
      </c>
    </row>
    <row r="179" spans="1:2" s="77" customFormat="1" ht="14.25">
      <c r="A179" s="216"/>
      <c r="B179" s="216" t="s">
        <v>168</v>
      </c>
    </row>
    <row r="180" spans="1:2" ht="14.25">
      <c r="A180" s="216"/>
      <c r="B180" s="259" t="s">
        <v>408</v>
      </c>
    </row>
    <row r="181" spans="2:7" ht="14.25">
      <c r="B181" s="63" t="s">
        <v>434</v>
      </c>
      <c r="D181" s="63" t="s">
        <v>236</v>
      </c>
      <c r="G181" s="70">
        <v>0.6093635086758213</v>
      </c>
    </row>
    <row r="182" spans="2:7" ht="14.25">
      <c r="B182" s="63" t="s">
        <v>235</v>
      </c>
      <c r="D182" s="63" t="s">
        <v>237</v>
      </c>
      <c r="G182" s="70">
        <v>2.2703404042368716</v>
      </c>
    </row>
    <row r="184" spans="2:7" ht="14.25">
      <c r="B184" s="77" t="s">
        <v>598</v>
      </c>
      <c r="D184" s="63" t="s">
        <v>238</v>
      </c>
      <c r="G184" s="569">
        <v>-8.662440668284676</v>
      </c>
    </row>
    <row r="185" spans="2:7" ht="14.25">
      <c r="B185" s="77" t="s">
        <v>669</v>
      </c>
      <c r="D185" s="63" t="s">
        <v>240</v>
      </c>
      <c r="G185" s="569">
        <v>-6.211626555033488</v>
      </c>
    </row>
    <row r="186" spans="2:7" ht="14.25">
      <c r="B186" s="63" t="s">
        <v>307</v>
      </c>
      <c r="D186" s="63" t="s">
        <v>239</v>
      </c>
      <c r="G186" s="557">
        <v>-68.58939811361229</v>
      </c>
    </row>
    <row r="187" ht="14.25">
      <c r="A187" s="216"/>
    </row>
    <row r="188" spans="2:7" ht="14.25">
      <c r="B188" s="77" t="s">
        <v>729</v>
      </c>
      <c r="D188" s="63" t="s">
        <v>730</v>
      </c>
      <c r="G188" s="70">
        <v>0.25617975349341066</v>
      </c>
    </row>
    <row r="189" spans="2:7" ht="14.25">
      <c r="B189" s="77" t="s">
        <v>731</v>
      </c>
      <c r="D189" s="132" t="s">
        <v>452</v>
      </c>
      <c r="G189" s="70">
        <v>3.4393792667809655</v>
      </c>
    </row>
    <row r="190" spans="2:7" ht="14.25">
      <c r="B190" s="77" t="s">
        <v>109</v>
      </c>
      <c r="D190" s="132" t="s">
        <v>452</v>
      </c>
      <c r="G190" s="401">
        <v>11.464597555936546</v>
      </c>
    </row>
    <row r="191" spans="2:7" ht="14.25">
      <c r="B191" s="77" t="s">
        <v>409</v>
      </c>
      <c r="G191" s="63">
        <v>11.728238826950353</v>
      </c>
    </row>
    <row r="193" ht="14.25">
      <c r="B193" s="259" t="s">
        <v>412</v>
      </c>
    </row>
    <row r="194" spans="2:6" ht="14.25">
      <c r="B194" s="98" t="s">
        <v>696</v>
      </c>
      <c r="E194" s="563">
        <v>1.4209217817814224</v>
      </c>
      <c r="F194" s="563">
        <v>1.3777062114634042</v>
      </c>
    </row>
    <row r="195" ht="14.25">
      <c r="B195" s="69"/>
    </row>
    <row r="196" spans="2:4" ht="14.25">
      <c r="B196" s="63" t="s">
        <v>693</v>
      </c>
      <c r="D196" s="563">
        <v>1024.6382620464274</v>
      </c>
    </row>
    <row r="197" spans="2:4" ht="14.25">
      <c r="B197" s="63" t="s">
        <v>694</v>
      </c>
      <c r="D197" s="563">
        <v>8.845714150419939</v>
      </c>
    </row>
    <row r="199" spans="2:11" ht="14.25">
      <c r="B199" s="63" t="s">
        <v>241</v>
      </c>
      <c r="D199" s="63" t="s">
        <v>242</v>
      </c>
      <c r="E199" s="563">
        <v>1038.7735753418604</v>
      </c>
      <c r="G199" s="172"/>
      <c r="H199" s="70"/>
      <c r="I199" s="70"/>
      <c r="J199" s="70"/>
      <c r="K199" s="70"/>
    </row>
    <row r="200" spans="2:11" ht="14.25">
      <c r="B200" s="63" t="s">
        <v>243</v>
      </c>
      <c r="D200" s="63" t="s">
        <v>248</v>
      </c>
      <c r="E200" s="563">
        <v>1051.737174361176</v>
      </c>
      <c r="G200" s="172"/>
      <c r="H200" s="70"/>
      <c r="I200" s="70"/>
      <c r="J200" s="70"/>
      <c r="K200" s="70"/>
    </row>
    <row r="201" spans="2:11" ht="14.25">
      <c r="B201" s="63" t="s">
        <v>249</v>
      </c>
      <c r="D201" s="63" t="s">
        <v>250</v>
      </c>
      <c r="E201" s="563">
        <v>1024.6382620464274</v>
      </c>
      <c r="G201" s="172"/>
      <c r="H201" s="70"/>
      <c r="I201" s="70"/>
      <c r="J201" s="70"/>
      <c r="K201" s="70"/>
    </row>
    <row r="202" spans="2:11" ht="14.25">
      <c r="B202" s="63" t="s">
        <v>251</v>
      </c>
      <c r="D202" s="63" t="s">
        <v>252</v>
      </c>
      <c r="E202" s="563">
        <v>-105.93064739201786</v>
      </c>
      <c r="G202" s="172"/>
      <c r="H202" s="70"/>
      <c r="I202" s="70"/>
      <c r="J202" s="70"/>
      <c r="K202" s="70"/>
    </row>
    <row r="203" spans="2:11" ht="14.25">
      <c r="B203" s="63" t="s">
        <v>253</v>
      </c>
      <c r="D203" s="63" t="s">
        <v>254</v>
      </c>
      <c r="E203" s="563">
        <v>123.58511844400934</v>
      </c>
      <c r="G203" s="172"/>
      <c r="H203" s="70"/>
      <c r="I203" s="70"/>
      <c r="J203" s="70"/>
      <c r="K203" s="70"/>
    </row>
    <row r="204" spans="2:11" ht="14.25">
      <c r="B204" s="63" t="s">
        <v>255</v>
      </c>
      <c r="D204" s="63" t="s">
        <v>256</v>
      </c>
      <c r="E204" s="563">
        <v>-3.5191577565584016</v>
      </c>
      <c r="G204" s="172"/>
      <c r="H204" s="70"/>
      <c r="I204" s="70"/>
      <c r="J204" s="70"/>
      <c r="K204" s="70"/>
    </row>
    <row r="205" spans="2:11" ht="14.25">
      <c r="B205" s="63" t="s">
        <v>257</v>
      </c>
      <c r="D205" s="63" t="s">
        <v>260</v>
      </c>
      <c r="E205" s="563">
        <v>1148.2233804904367</v>
      </c>
      <c r="G205" s="172"/>
      <c r="H205" s="70"/>
      <c r="I205" s="70"/>
      <c r="J205" s="70"/>
      <c r="K205" s="70"/>
    </row>
    <row r="206" spans="2:11" ht="14.25">
      <c r="B206" s="63" t="s">
        <v>261</v>
      </c>
      <c r="D206" s="63" t="s">
        <v>262</v>
      </c>
      <c r="E206" s="563">
        <v>-146.1835802671695</v>
      </c>
      <c r="G206" s="172"/>
      <c r="H206" s="70"/>
      <c r="I206" s="70"/>
      <c r="J206" s="70"/>
      <c r="K206" s="70"/>
    </row>
    <row r="207" spans="2:11" ht="14.25">
      <c r="B207" s="63" t="s">
        <v>263</v>
      </c>
      <c r="D207" s="63" t="s">
        <v>264</v>
      </c>
      <c r="E207" s="563">
        <v>29.086183340566613</v>
      </c>
      <c r="G207" s="172"/>
      <c r="H207" s="70"/>
      <c r="I207" s="70"/>
      <c r="J207" s="70"/>
      <c r="K207" s="70"/>
    </row>
    <row r="208" spans="2:11" ht="14.25">
      <c r="B208" s="63" t="s">
        <v>265</v>
      </c>
      <c r="D208" s="63" t="s">
        <v>266</v>
      </c>
      <c r="E208" s="563">
        <v>6.400937308676284</v>
      </c>
      <c r="G208" s="172"/>
      <c r="H208" s="70"/>
      <c r="I208" s="70"/>
      <c r="J208" s="70"/>
      <c r="K208" s="70"/>
    </row>
    <row r="209" spans="2:11" ht="14.25">
      <c r="B209" s="63" t="s">
        <v>267</v>
      </c>
      <c r="D209" s="63" t="s">
        <v>268</v>
      </c>
      <c r="G209" s="563">
        <v>12.949617219578629</v>
      </c>
      <c r="H209" s="563">
        <v>-12.066615434675768</v>
      </c>
      <c r="I209" s="563">
        <v>-7.2839390935791455</v>
      </c>
      <c r="J209" s="563">
        <v>-15.076048526930542</v>
      </c>
      <c r="K209" s="563">
        <v>-10.575746342177808</v>
      </c>
    </row>
    <row r="210" spans="2:11" ht="14.25">
      <c r="B210" s="63" t="s">
        <v>269</v>
      </c>
      <c r="D210" s="63" t="s">
        <v>270</v>
      </c>
      <c r="E210" s="563">
        <v>0.307391533432922</v>
      </c>
      <c r="G210" s="172"/>
      <c r="H210" s="70"/>
      <c r="I210" s="70"/>
      <c r="J210" s="70"/>
      <c r="K210" s="70"/>
    </row>
    <row r="211" spans="2:11" ht="14.25">
      <c r="B211" s="63" t="s">
        <v>271</v>
      </c>
      <c r="D211" s="63" t="s">
        <v>272</v>
      </c>
      <c r="E211" s="563">
        <v>13.98109189396443</v>
      </c>
      <c r="G211" s="172"/>
      <c r="H211" s="70"/>
      <c r="I211" s="70"/>
      <c r="J211" s="70"/>
      <c r="K211" s="70"/>
    </row>
    <row r="212" spans="2:11" ht="14.25">
      <c r="B212" s="63" t="s">
        <v>273</v>
      </c>
      <c r="D212" s="63" t="s">
        <v>274</v>
      </c>
      <c r="E212" s="563">
        <v>-1.017492874649109</v>
      </c>
      <c r="G212" s="172"/>
      <c r="H212" s="70"/>
      <c r="I212" s="70"/>
      <c r="J212" s="70"/>
      <c r="K212" s="70"/>
    </row>
    <row r="213" spans="2:11" ht="14.25">
      <c r="B213" s="63" t="s">
        <v>275</v>
      </c>
      <c r="D213" s="63" t="s">
        <v>282</v>
      </c>
      <c r="E213" s="563">
        <v>-0.4079757045971957</v>
      </c>
      <c r="G213" s="172"/>
      <c r="H213" s="70"/>
      <c r="I213" s="70"/>
      <c r="J213" s="70"/>
      <c r="K213" s="70"/>
    </row>
    <row r="214" spans="2:11" ht="14.25">
      <c r="B214" s="63" t="s">
        <v>576</v>
      </c>
      <c r="D214" s="63" t="s">
        <v>283</v>
      </c>
      <c r="G214" s="563">
        <v>3.1478807093602796</v>
      </c>
      <c r="H214" s="70"/>
      <c r="I214" s="70"/>
      <c r="J214" s="70"/>
      <c r="K214" s="70"/>
    </row>
    <row r="216" spans="2:4" ht="14.25">
      <c r="B216" s="259" t="s">
        <v>413</v>
      </c>
      <c r="C216" s="77"/>
      <c r="D216" s="77"/>
    </row>
    <row r="217" spans="2:11" ht="14.25">
      <c r="B217" s="63" t="s">
        <v>241</v>
      </c>
      <c r="D217" s="77" t="s">
        <v>284</v>
      </c>
      <c r="E217" s="563">
        <v>1024.7339138450852</v>
      </c>
      <c r="G217" s="172"/>
      <c r="H217" s="70"/>
      <c r="I217" s="70"/>
      <c r="J217" s="70"/>
      <c r="K217" s="70"/>
    </row>
    <row r="218" spans="2:11" ht="14.25">
      <c r="B218" s="63" t="s">
        <v>243</v>
      </c>
      <c r="D218" s="77" t="s">
        <v>285</v>
      </c>
      <c r="E218" s="563">
        <v>1037.5223018787424</v>
      </c>
      <c r="G218" s="172"/>
      <c r="H218" s="70"/>
      <c r="I218" s="70"/>
      <c r="J218" s="70"/>
      <c r="K218" s="70"/>
    </row>
    <row r="219" spans="2:11" ht="14.25">
      <c r="B219" s="63" t="s">
        <v>286</v>
      </c>
      <c r="D219" s="77" t="s">
        <v>287</v>
      </c>
      <c r="E219" s="563">
        <v>1044.1399635452633</v>
      </c>
      <c r="G219" s="172"/>
      <c r="H219" s="70"/>
      <c r="I219" s="70"/>
      <c r="J219" s="70"/>
      <c r="K219" s="70"/>
    </row>
    <row r="220" spans="2:11" ht="14.25">
      <c r="B220" s="63" t="s">
        <v>249</v>
      </c>
      <c r="D220" s="77" t="s">
        <v>288</v>
      </c>
      <c r="E220" s="563">
        <v>1010.7896479718522</v>
      </c>
      <c r="G220" s="172"/>
      <c r="H220" s="70"/>
      <c r="I220" s="70"/>
      <c r="J220" s="70"/>
      <c r="K220" s="70"/>
    </row>
    <row r="221" spans="2:11" ht="14.25">
      <c r="B221" s="63" t="s">
        <v>251</v>
      </c>
      <c r="D221" s="77" t="s">
        <v>289</v>
      </c>
      <c r="E221" s="563">
        <v>-104.49892977152606</v>
      </c>
      <c r="G221" s="172"/>
      <c r="H221" s="70"/>
      <c r="I221" s="70"/>
      <c r="J221" s="70"/>
      <c r="K221" s="70"/>
    </row>
    <row r="222" spans="2:11" ht="14.25">
      <c r="B222" s="63" t="s">
        <v>253</v>
      </c>
      <c r="D222" s="77" t="s">
        <v>290</v>
      </c>
      <c r="E222" s="563">
        <v>121.91478982747542</v>
      </c>
      <c r="G222" s="172"/>
      <c r="H222" s="70"/>
      <c r="I222" s="70"/>
      <c r="J222" s="70"/>
      <c r="K222" s="70"/>
    </row>
    <row r="223" spans="2:11" ht="14.25">
      <c r="B223" s="63" t="s">
        <v>255</v>
      </c>
      <c r="D223" s="77" t="s">
        <v>291</v>
      </c>
      <c r="E223" s="563">
        <v>-3.4715941827164594</v>
      </c>
      <c r="G223" s="172"/>
      <c r="H223" s="70"/>
      <c r="I223" s="70"/>
      <c r="J223" s="70"/>
      <c r="K223" s="70"/>
    </row>
    <row r="224" spans="2:11" ht="14.25">
      <c r="B224" s="63" t="s">
        <v>265</v>
      </c>
      <c r="D224" s="77" t="s">
        <v>292</v>
      </c>
      <c r="E224" s="563">
        <v>6.3144247180510185</v>
      </c>
      <c r="G224" s="172"/>
      <c r="H224" s="70"/>
      <c r="I224" s="70"/>
      <c r="J224" s="70"/>
      <c r="K224" s="70"/>
    </row>
    <row r="225" spans="2:11" ht="14.25">
      <c r="B225" s="121" t="s">
        <v>293</v>
      </c>
      <c r="D225" s="77" t="s">
        <v>294</v>
      </c>
      <c r="G225" s="563">
        <v>13.738347886216973</v>
      </c>
      <c r="H225" s="563">
        <v>-13.121603657144178</v>
      </c>
      <c r="I225" s="563">
        <v>-8.118795732348957</v>
      </c>
      <c r="J225" s="563">
        <v>-17.224106460850443</v>
      </c>
      <c r="K225" s="563">
        <v>-12.384659354844219</v>
      </c>
    </row>
    <row r="226" spans="2:11" ht="14.25">
      <c r="B226" s="63" t="s">
        <v>269</v>
      </c>
      <c r="D226" s="77" t="s">
        <v>295</v>
      </c>
      <c r="E226" s="563">
        <v>0.30323694846963717</v>
      </c>
      <c r="G226" s="172"/>
      <c r="H226" s="70"/>
      <c r="I226" s="70"/>
      <c r="J226" s="70"/>
      <c r="K226" s="70"/>
    </row>
    <row r="227" spans="2:11" ht="14.25">
      <c r="B227" s="77" t="s">
        <v>271</v>
      </c>
      <c r="D227" s="77" t="s">
        <v>296</v>
      </c>
      <c r="E227" s="563">
        <v>13.79212886852169</v>
      </c>
      <c r="G227" s="172"/>
      <c r="H227" s="172"/>
      <c r="I227" s="172"/>
      <c r="J227" s="172"/>
      <c r="K227" s="172"/>
    </row>
    <row r="228" spans="2:11" ht="14.25">
      <c r="B228" s="77" t="s">
        <v>273</v>
      </c>
      <c r="D228" s="77" t="s">
        <v>296</v>
      </c>
      <c r="E228" s="563">
        <v>-1.003740834864353</v>
      </c>
      <c r="G228" s="172"/>
      <c r="H228" s="70"/>
      <c r="I228" s="70"/>
      <c r="J228" s="70"/>
      <c r="K228" s="70"/>
    </row>
    <row r="229" spans="2:11" ht="14.25">
      <c r="B229" s="77" t="s">
        <v>275</v>
      </c>
      <c r="D229" s="77" t="s">
        <v>296</v>
      </c>
      <c r="E229" s="563">
        <v>-0.4119686313316408</v>
      </c>
      <c r="G229" s="172"/>
      <c r="H229" s="70"/>
      <c r="I229" s="70"/>
      <c r="J229" s="70"/>
      <c r="K229" s="70"/>
    </row>
    <row r="231" ht="14.25">
      <c r="B231" s="216" t="s">
        <v>169</v>
      </c>
    </row>
    <row r="232" spans="2:7" ht="14.25">
      <c r="B232" s="77" t="s">
        <v>107</v>
      </c>
      <c r="G232" s="70">
        <v>-2.6093389116016326</v>
      </c>
    </row>
    <row r="233" spans="2:7" ht="14.25">
      <c r="B233" s="63" t="s">
        <v>26</v>
      </c>
      <c r="G233" s="70">
        <v>0.25617975349341066</v>
      </c>
    </row>
    <row r="234" spans="2:7" ht="14.25">
      <c r="B234" s="63" t="s">
        <v>140</v>
      </c>
      <c r="G234" s="70">
        <v>47.79765038192881</v>
      </c>
    </row>
    <row r="235" spans="2:7" ht="14.25">
      <c r="B235" s="69"/>
      <c r="G235" s="70"/>
    </row>
    <row r="236" spans="2:7" ht="14.25">
      <c r="B236" s="63" t="s">
        <v>245</v>
      </c>
      <c r="G236" s="70">
        <v>3.1478807093602796</v>
      </c>
    </row>
    <row r="237" spans="2:7" ht="14.25">
      <c r="B237" s="63" t="s">
        <v>246</v>
      </c>
      <c r="G237" s="70">
        <v>3.1478807093602796</v>
      </c>
    </row>
    <row r="238" ht="14.25">
      <c r="G238" s="70"/>
    </row>
    <row r="239" ht="14.25">
      <c r="G239" s="70"/>
    </row>
    <row r="240" spans="1:2" ht="14.25">
      <c r="A240" s="216"/>
      <c r="B240" s="216" t="s">
        <v>173</v>
      </c>
    </row>
    <row r="241" spans="2:13" ht="38.25">
      <c r="B241" s="34"/>
      <c r="C241" s="77"/>
      <c r="D241" s="77"/>
      <c r="E241" s="263" t="s">
        <v>382</v>
      </c>
      <c r="F241" s="35" t="s">
        <v>685</v>
      </c>
      <c r="G241" s="35" t="s">
        <v>686</v>
      </c>
      <c r="H241" s="35" t="s">
        <v>687</v>
      </c>
      <c r="I241" s="35" t="s">
        <v>689</v>
      </c>
      <c r="J241" s="35" t="s">
        <v>690</v>
      </c>
      <c r="K241" s="35" t="s">
        <v>691</v>
      </c>
      <c r="L241" s="36" t="s">
        <v>692</v>
      </c>
      <c r="M241" s="34" t="s">
        <v>698</v>
      </c>
    </row>
    <row r="242" spans="2:13" ht="14.25">
      <c r="B242" s="498" t="s">
        <v>172</v>
      </c>
      <c r="C242" s="77"/>
      <c r="D242" s="77"/>
      <c r="E242" s="51"/>
      <c r="F242" s="37"/>
      <c r="G242" s="37"/>
      <c r="H242" s="38"/>
      <c r="I242" s="39"/>
      <c r="J242" s="38"/>
      <c r="K242" s="38"/>
      <c r="L242" s="38"/>
      <c r="M242" s="40"/>
    </row>
    <row r="243" spans="2:13" ht="14.25">
      <c r="B243" s="41" t="s">
        <v>377</v>
      </c>
      <c r="C243" s="77"/>
      <c r="D243" s="77"/>
      <c r="E243" s="42"/>
      <c r="F243" s="42"/>
      <c r="G243" s="52">
        <v>3.1</v>
      </c>
      <c r="H243" s="52">
        <v>1.980518610146254</v>
      </c>
      <c r="I243" s="52">
        <v>2.1679999617185666</v>
      </c>
      <c r="J243" s="52">
        <v>2.059454913316535</v>
      </c>
      <c r="K243" s="52">
        <v>1.6591552712673154</v>
      </c>
      <c r="L243" s="52">
        <v>1.6512043448730755</v>
      </c>
      <c r="M243" s="52">
        <v>9.518333101321746</v>
      </c>
    </row>
    <row r="244" spans="2:13" ht="14.25">
      <c r="B244" s="43" t="s">
        <v>170</v>
      </c>
      <c r="C244" s="77"/>
      <c r="D244" s="77"/>
      <c r="E244" s="42"/>
      <c r="F244" s="42"/>
      <c r="G244" s="52">
        <v>14.672583504986035</v>
      </c>
      <c r="H244" s="52">
        <v>15.214497943350302</v>
      </c>
      <c r="I244" s="52">
        <v>12.005037742320583</v>
      </c>
      <c r="J244" s="52">
        <v>14.460948004639082</v>
      </c>
      <c r="K244" s="52">
        <v>18.323262962876697</v>
      </c>
      <c r="L244" s="52">
        <v>16.147437980279182</v>
      </c>
      <c r="M244" s="52">
        <v>76.15118463346585</v>
      </c>
    </row>
    <row r="245" spans="2:13" ht="14.25">
      <c r="B245" s="45" t="s">
        <v>699</v>
      </c>
      <c r="C245" s="77"/>
      <c r="D245" s="77"/>
      <c r="E245" s="53">
        <v>0</v>
      </c>
      <c r="F245" s="53">
        <v>0</v>
      </c>
      <c r="G245" s="53">
        <v>17.772583504986038</v>
      </c>
      <c r="H245" s="53">
        <v>17.195016553496558</v>
      </c>
      <c r="I245" s="53">
        <v>14.17303770403915</v>
      </c>
      <c r="J245" s="53">
        <v>16.520402917955614</v>
      </c>
      <c r="K245" s="53">
        <v>19.982418234144014</v>
      </c>
      <c r="L245" s="53">
        <v>17.798642325152258</v>
      </c>
      <c r="M245" s="53">
        <v>85.66951773478759</v>
      </c>
    </row>
    <row r="246" spans="2:13" ht="14.25">
      <c r="B246" s="46"/>
      <c r="C246" s="77"/>
      <c r="D246" s="77"/>
      <c r="E246" s="47"/>
      <c r="F246" s="47"/>
      <c r="G246" s="52"/>
      <c r="H246" s="52"/>
      <c r="I246" s="52"/>
      <c r="J246" s="52"/>
      <c r="K246" s="52"/>
      <c r="L246" s="52"/>
      <c r="M246" s="52"/>
    </row>
    <row r="247" spans="2:13" ht="14.25">
      <c r="B247" s="50" t="s">
        <v>174</v>
      </c>
      <c r="C247" s="77"/>
      <c r="D247" s="77"/>
      <c r="E247" s="51"/>
      <c r="F247" s="48"/>
      <c r="G247" s="52"/>
      <c r="H247" s="52"/>
      <c r="I247" s="52"/>
      <c r="J247" s="52"/>
      <c r="K247" s="52"/>
      <c r="L247" s="52"/>
      <c r="M247" s="52"/>
    </row>
    <row r="248" spans="2:13" ht="14.25">
      <c r="B248" s="496" t="s">
        <v>171</v>
      </c>
      <c r="C248" s="77"/>
      <c r="D248" s="77"/>
      <c r="E248" s="52"/>
      <c r="F248" s="52"/>
      <c r="G248" s="52">
        <v>56.73238368302671</v>
      </c>
      <c r="H248" s="52">
        <v>71.85577610707499</v>
      </c>
      <c r="I248" s="52">
        <v>68.89325206851306</v>
      </c>
      <c r="J248" s="52">
        <v>65.78570870016483</v>
      </c>
      <c r="K248" s="52">
        <v>65.27332704868503</v>
      </c>
      <c r="L248" s="52">
        <v>62.68976443908802</v>
      </c>
      <c r="M248" s="52">
        <v>334.49782836352597</v>
      </c>
    </row>
    <row r="249" spans="2:13" ht="14.25">
      <c r="B249" s="497" t="s">
        <v>176</v>
      </c>
      <c r="C249" s="77"/>
      <c r="D249" s="77"/>
      <c r="E249" s="52"/>
      <c r="F249" s="52"/>
      <c r="G249" s="52">
        <v>-1.1595907530864191</v>
      </c>
      <c r="H249" s="52">
        <v>0.036625707881470654</v>
      </c>
      <c r="I249" s="52">
        <v>0.036447998509147164</v>
      </c>
      <c r="J249" s="52">
        <v>0.03627188193164874</v>
      </c>
      <c r="K249" s="52">
        <v>0.03609734041324804</v>
      </c>
      <c r="L249" s="52">
        <v>0.0359243564245739</v>
      </c>
      <c r="M249" s="52">
        <v>0.18136728516008851</v>
      </c>
    </row>
    <row r="250" spans="2:13" ht="14.25">
      <c r="B250" s="497" t="s">
        <v>177</v>
      </c>
      <c r="C250" s="77"/>
      <c r="D250" s="77"/>
      <c r="E250" s="52"/>
      <c r="F250" s="52"/>
      <c r="G250" s="52">
        <v>0</v>
      </c>
      <c r="H250" s="52">
        <v>0.9208333333333334</v>
      </c>
      <c r="I250" s="52">
        <v>1.00725</v>
      </c>
      <c r="J250" s="52">
        <v>1.1035833333333334</v>
      </c>
      <c r="K250" s="52">
        <v>1.1970833333333333</v>
      </c>
      <c r="L250" s="52">
        <v>1.2941249999999997</v>
      </c>
      <c r="M250" s="52">
        <v>5.522874999999999</v>
      </c>
    </row>
    <row r="251" spans="2:13" ht="14.25">
      <c r="B251" s="49" t="s">
        <v>530</v>
      </c>
      <c r="C251" s="77"/>
      <c r="D251" s="77"/>
      <c r="E251" s="54">
        <v>0</v>
      </c>
      <c r="F251" s="54">
        <v>0</v>
      </c>
      <c r="G251" s="53">
        <v>55.57279292994029</v>
      </c>
      <c r="H251" s="53">
        <v>72.81323514828979</v>
      </c>
      <c r="I251" s="53">
        <v>69.93695006702221</v>
      </c>
      <c r="J251" s="53">
        <v>66.92556391542982</v>
      </c>
      <c r="K251" s="53">
        <v>66.50650772243162</v>
      </c>
      <c r="L251" s="53">
        <v>64.01981379551259</v>
      </c>
      <c r="M251" s="53">
        <v>340.20207064868606</v>
      </c>
    </row>
  </sheetData>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21">
    <pageSetUpPr fitToPage="1"/>
  </sheetPr>
  <dimension ref="A1:M251"/>
  <sheetViews>
    <sheetView zoomScale="70" zoomScaleNormal="70" workbookViewId="0" topLeftCell="A1">
      <pane ySplit="1" topLeftCell="BM2" activePane="bottomLeft" state="frozen"/>
      <selection pane="topLeft" activeCell="A1" sqref="A1"/>
      <selection pane="bottomLeft" activeCell="A1" sqref="A1"/>
    </sheetView>
  </sheetViews>
  <sheetFormatPr defaultColWidth="9.00390625" defaultRowHeight="15"/>
  <cols>
    <col min="1" max="1" width="9.00390625" style="71" customWidth="1"/>
    <col min="2" max="2" width="48.00390625" style="63" customWidth="1"/>
    <col min="3" max="3" width="9.00390625" style="63" hidden="1" customWidth="1"/>
    <col min="4" max="4" width="9.00390625" style="63" customWidth="1"/>
    <col min="5" max="6" width="10.375" style="63" bestFit="1" customWidth="1"/>
    <col min="7" max="16384" width="9.00390625" style="63" customWidth="1"/>
  </cols>
  <sheetData>
    <row r="1" spans="3:12" ht="14.25">
      <c r="C1" s="540"/>
      <c r="D1" s="540"/>
      <c r="E1" s="541" t="s">
        <v>76</v>
      </c>
      <c r="F1" s="541" t="s">
        <v>77</v>
      </c>
      <c r="G1" s="541" t="s">
        <v>91</v>
      </c>
      <c r="H1" s="541" t="s">
        <v>92</v>
      </c>
      <c r="I1" s="541" t="s">
        <v>93</v>
      </c>
      <c r="J1" s="541" t="s">
        <v>94</v>
      </c>
      <c r="K1" s="541" t="s">
        <v>95</v>
      </c>
      <c r="L1" s="541" t="s">
        <v>131</v>
      </c>
    </row>
    <row r="2" spans="1:12" ht="14.25">
      <c r="A2" s="216"/>
      <c r="C2" s="77"/>
      <c r="D2" s="542"/>
      <c r="E2" s="542"/>
      <c r="F2" s="542"/>
      <c r="G2" s="542"/>
      <c r="H2" s="542"/>
      <c r="I2" s="542"/>
      <c r="J2" s="542"/>
      <c r="K2" s="542"/>
      <c r="L2" s="543"/>
    </row>
    <row r="3" spans="1:12" ht="14.25">
      <c r="A3" s="216"/>
      <c r="B3" s="544" t="s">
        <v>429</v>
      </c>
      <c r="C3" s="545"/>
      <c r="D3" s="546"/>
      <c r="E3" s="546"/>
      <c r="F3" s="546"/>
      <c r="G3" s="542"/>
      <c r="H3" s="542"/>
      <c r="I3" s="547"/>
      <c r="J3" s="547"/>
      <c r="K3" s="542"/>
      <c r="L3" s="543"/>
    </row>
    <row r="4" spans="1:12" ht="14.25">
      <c r="A4" s="216" t="s">
        <v>534</v>
      </c>
      <c r="B4" s="548" t="s">
        <v>601</v>
      </c>
      <c r="C4" s="549"/>
      <c r="D4" s="546"/>
      <c r="E4" s="546">
        <v>263.89552096054297</v>
      </c>
      <c r="F4" s="546">
        <v>261.58563750066094</v>
      </c>
      <c r="G4" s="542"/>
      <c r="H4" s="542"/>
      <c r="I4" s="542"/>
      <c r="J4" s="542"/>
      <c r="K4" s="542"/>
      <c r="L4" s="542"/>
    </row>
    <row r="5" spans="1:12" ht="14.25">
      <c r="A5" s="216"/>
      <c r="B5" s="548" t="s">
        <v>600</v>
      </c>
      <c r="C5" s="545"/>
      <c r="D5" s="546"/>
      <c r="E5" s="546">
        <v>259.45712345644205</v>
      </c>
      <c r="F5" s="546">
        <v>254.85915404310867</v>
      </c>
      <c r="G5" s="542"/>
      <c r="H5" s="542"/>
      <c r="I5" s="542"/>
      <c r="J5" s="542"/>
      <c r="K5" s="542"/>
      <c r="L5" s="543"/>
    </row>
    <row r="6" spans="1:12" ht="14.25">
      <c r="A6" s="216"/>
      <c r="B6" s="544" t="s">
        <v>476</v>
      </c>
      <c r="C6" s="545"/>
      <c r="D6" s="546"/>
      <c r="E6" s="546">
        <v>-4.013455435052477</v>
      </c>
      <c r="F6" s="546">
        <v>-3.9423309845602055</v>
      </c>
      <c r="G6" s="542"/>
      <c r="H6" s="547"/>
      <c r="I6" s="547"/>
      <c r="J6" s="547"/>
      <c r="K6" s="542"/>
      <c r="L6" s="543"/>
    </row>
    <row r="7" spans="1:12" ht="14.25">
      <c r="A7" s="216"/>
      <c r="B7" s="544" t="s">
        <v>477</v>
      </c>
      <c r="C7" s="545"/>
      <c r="D7" s="546"/>
      <c r="E7" s="546">
        <v>0.822038336045755</v>
      </c>
      <c r="F7" s="546">
        <v>0.8074705836735131</v>
      </c>
      <c r="G7" s="542"/>
      <c r="H7" s="547"/>
      <c r="I7" s="547"/>
      <c r="J7" s="542"/>
      <c r="K7" s="542"/>
      <c r="L7" s="543"/>
    </row>
    <row r="8" spans="1:12" ht="14.25">
      <c r="A8" s="216"/>
      <c r="B8" s="548" t="s">
        <v>478</v>
      </c>
      <c r="C8" s="545"/>
      <c r="D8" s="546"/>
      <c r="E8" s="546">
        <v>256.26570635743536</v>
      </c>
      <c r="F8" s="546">
        <v>251.72429364222197</v>
      </c>
      <c r="G8" s="542"/>
      <c r="H8" s="542"/>
      <c r="I8" s="542"/>
      <c r="J8" s="542"/>
      <c r="K8" s="542"/>
      <c r="L8" s="543"/>
    </row>
    <row r="9" spans="1:12" ht="14.25">
      <c r="A9" s="121"/>
      <c r="B9" s="548" t="s">
        <v>66</v>
      </c>
      <c r="C9" s="549"/>
      <c r="D9" s="546"/>
      <c r="E9" s="546">
        <v>-90.39152455052556</v>
      </c>
      <c r="F9" s="546">
        <v>-87.26027173628486</v>
      </c>
      <c r="G9" s="542"/>
      <c r="H9" s="542"/>
      <c r="I9" s="542"/>
      <c r="J9" s="542"/>
      <c r="K9" s="542"/>
      <c r="L9" s="542"/>
    </row>
    <row r="10" spans="1:12" ht="14.25">
      <c r="A10" s="121"/>
      <c r="B10" s="548" t="s">
        <v>479</v>
      </c>
      <c r="C10" s="549"/>
      <c r="D10" s="546"/>
      <c r="E10" s="546">
        <v>-86.37806911547308</v>
      </c>
      <c r="F10" s="546">
        <v>-83.31794075172466</v>
      </c>
      <c r="H10" s="542"/>
      <c r="I10" s="542"/>
      <c r="J10" s="542"/>
      <c r="K10" s="542"/>
      <c r="L10" s="542"/>
    </row>
    <row r="11" spans="1:12" ht="14.25">
      <c r="A11" s="121"/>
      <c r="B11" s="548" t="s">
        <v>67</v>
      </c>
      <c r="C11" s="549"/>
      <c r="D11" s="546"/>
      <c r="E11" s="546">
        <v>-23.19525271071112</v>
      </c>
      <c r="F11" s="546">
        <v>-24.528831174003408</v>
      </c>
      <c r="G11" s="542"/>
      <c r="H11" s="542"/>
      <c r="I11" s="542"/>
      <c r="J11" s="542"/>
      <c r="K11" s="542"/>
      <c r="L11" s="542"/>
    </row>
    <row r="12" spans="1:12" ht="14.25">
      <c r="A12" s="121"/>
      <c r="B12" s="548" t="s">
        <v>487</v>
      </c>
      <c r="C12" s="549"/>
      <c r="D12" s="546"/>
      <c r="E12" s="546">
        <v>-27.96967596787229</v>
      </c>
      <c r="F12" s="546">
        <v>-27.072136762193054</v>
      </c>
      <c r="G12" s="542"/>
      <c r="H12" s="542"/>
      <c r="I12" s="542"/>
      <c r="J12" s="542"/>
      <c r="K12" s="542"/>
      <c r="L12" s="542"/>
    </row>
    <row r="13" spans="1:12" ht="14.25">
      <c r="A13" s="550" t="s">
        <v>121</v>
      </c>
      <c r="B13" s="551"/>
      <c r="C13" s="549"/>
      <c r="D13" s="546"/>
      <c r="E13" s="546"/>
      <c r="F13" s="546"/>
      <c r="G13" s="542"/>
      <c r="H13" s="558"/>
      <c r="I13" s="542"/>
      <c r="J13" s="542"/>
      <c r="K13" s="542"/>
      <c r="L13" s="543"/>
    </row>
    <row r="14" spans="1:12" ht="14.25">
      <c r="A14" s="552"/>
      <c r="B14" s="545" t="s">
        <v>494</v>
      </c>
      <c r="C14" s="549"/>
      <c r="D14" s="546"/>
      <c r="E14" s="546">
        <v>16.37505610021622</v>
      </c>
      <c r="F14" s="546">
        <v>22.136355399806902</v>
      </c>
      <c r="G14" s="542"/>
      <c r="H14" s="542"/>
      <c r="I14" s="542"/>
      <c r="J14" s="542"/>
      <c r="K14" s="542"/>
      <c r="L14" s="543"/>
    </row>
    <row r="15" spans="1:12" ht="14.25">
      <c r="A15" s="552"/>
      <c r="B15" s="545" t="s">
        <v>493</v>
      </c>
      <c r="C15" s="549"/>
      <c r="D15" s="546"/>
      <c r="E15" s="546">
        <v>27.969675967872284</v>
      </c>
      <c r="F15" s="546">
        <v>27.072136762193054</v>
      </c>
      <c r="G15" s="542"/>
      <c r="H15" s="542"/>
      <c r="I15" s="542"/>
      <c r="J15" s="542"/>
      <c r="K15" s="542"/>
      <c r="L15" s="543"/>
    </row>
    <row r="16" spans="1:12" ht="14.25">
      <c r="A16" s="552"/>
      <c r="B16" s="545" t="s">
        <v>142</v>
      </c>
      <c r="C16" s="549"/>
      <c r="D16" s="546"/>
      <c r="E16" s="546">
        <v>55.93935193574457</v>
      </c>
      <c r="F16" s="546">
        <v>54.14427352438611</v>
      </c>
      <c r="G16" s="542"/>
      <c r="H16" s="542"/>
      <c r="I16" s="542"/>
      <c r="J16" s="542"/>
      <c r="K16" s="542"/>
      <c r="L16" s="543"/>
    </row>
    <row r="17" spans="1:12" ht="14.25">
      <c r="A17" s="121"/>
      <c r="B17" s="121"/>
      <c r="C17" s="553"/>
      <c r="D17" s="542"/>
      <c r="E17" s="542"/>
      <c r="F17" s="542"/>
      <c r="G17" s="542"/>
      <c r="H17" s="542"/>
      <c r="I17" s="542"/>
      <c r="J17" s="542"/>
      <c r="K17" s="542"/>
      <c r="L17" s="542"/>
    </row>
    <row r="18" spans="1:12" ht="14.25">
      <c r="A18" s="121"/>
      <c r="B18" s="554" t="s">
        <v>785</v>
      </c>
      <c r="C18" s="555"/>
      <c r="D18" s="556"/>
      <c r="E18" s="556">
        <v>266.7</v>
      </c>
      <c r="F18" s="556">
        <v>259.8</v>
      </c>
      <c r="G18" s="556">
        <v>292.4</v>
      </c>
      <c r="H18" s="542"/>
      <c r="I18" s="542"/>
      <c r="J18" s="542"/>
      <c r="K18" s="542"/>
      <c r="L18" s="542"/>
    </row>
    <row r="19" spans="1:7" ht="14.25">
      <c r="A19" s="121"/>
      <c r="B19" s="554" t="s">
        <v>153</v>
      </c>
      <c r="C19" s="555"/>
      <c r="D19" s="556"/>
      <c r="E19" s="556">
        <v>-85.5</v>
      </c>
      <c r="F19" s="556">
        <v>-87.5</v>
      </c>
      <c r="G19" s="556">
        <v>-89</v>
      </c>
    </row>
    <row r="20" spans="1:7" ht="14.25">
      <c r="A20" s="121"/>
      <c r="B20" s="554" t="s">
        <v>67</v>
      </c>
      <c r="C20" s="555"/>
      <c r="D20" s="556"/>
      <c r="E20" s="556">
        <v>-27.3</v>
      </c>
      <c r="F20" s="556">
        <v>-29.2</v>
      </c>
      <c r="G20" s="556">
        <v>-30.9</v>
      </c>
    </row>
    <row r="21" spans="1:12" ht="14.25">
      <c r="A21" s="121"/>
      <c r="B21" s="554"/>
      <c r="C21" s="555"/>
      <c r="D21" s="556"/>
      <c r="E21" s="556"/>
      <c r="F21" s="556"/>
      <c r="G21" s="556"/>
      <c r="H21" s="542"/>
      <c r="I21" s="542"/>
      <c r="J21" s="542"/>
      <c r="K21" s="542"/>
      <c r="L21" s="542"/>
    </row>
    <row r="22" spans="1:12" ht="14.25">
      <c r="A22" s="121"/>
      <c r="B22" s="554" t="s">
        <v>8</v>
      </c>
      <c r="C22" s="555"/>
      <c r="D22" s="556"/>
      <c r="E22" s="556">
        <v>-19.34</v>
      </c>
      <c r="F22" s="556">
        <v>-17.028878048780488</v>
      </c>
      <c r="G22" s="556">
        <v>-18.42101035098156</v>
      </c>
      <c r="H22" s="542"/>
      <c r="I22" s="542"/>
      <c r="J22" s="542"/>
      <c r="K22" s="542"/>
      <c r="L22" s="542"/>
    </row>
    <row r="23" spans="1:7" ht="14.25">
      <c r="A23" s="121"/>
      <c r="B23" s="554" t="s">
        <v>57</v>
      </c>
      <c r="C23" s="555"/>
      <c r="D23" s="556"/>
      <c r="E23" s="556">
        <v>-44.3</v>
      </c>
      <c r="F23" s="556">
        <v>-44.9</v>
      </c>
      <c r="G23" s="556">
        <v>-45.7</v>
      </c>
    </row>
    <row r="24" spans="1:7" ht="14.25">
      <c r="A24" s="121"/>
      <c r="B24" s="554" t="s">
        <v>727</v>
      </c>
      <c r="C24" s="555"/>
      <c r="D24" s="556"/>
      <c r="E24" s="556">
        <v>29.994756994222943</v>
      </c>
      <c r="F24" s="556">
        <v>30.296469592854457</v>
      </c>
      <c r="G24" s="556">
        <v>38.1356759100732</v>
      </c>
    </row>
    <row r="25" spans="1:12" ht="14.25">
      <c r="A25" s="121"/>
      <c r="B25" s="77" t="s">
        <v>350</v>
      </c>
      <c r="C25" s="553"/>
      <c r="D25" s="542"/>
      <c r="E25" s="542"/>
      <c r="F25" s="542"/>
      <c r="G25" s="557">
        <v>273.5</v>
      </c>
      <c r="H25" s="542"/>
      <c r="I25" s="542"/>
      <c r="J25" s="542"/>
      <c r="K25" s="542"/>
      <c r="L25" s="542"/>
    </row>
    <row r="26" spans="1:12" ht="14.25">
      <c r="A26" s="121"/>
      <c r="B26" s="77"/>
      <c r="C26" s="553"/>
      <c r="D26" s="542"/>
      <c r="E26" s="542"/>
      <c r="F26" s="542"/>
      <c r="G26" s="557"/>
      <c r="H26" s="542"/>
      <c r="I26" s="542"/>
      <c r="J26" s="542"/>
      <c r="K26" s="542"/>
      <c r="L26" s="542"/>
    </row>
    <row r="27" spans="1:12" ht="14.25">
      <c r="A27" s="121"/>
      <c r="B27" s="554" t="s">
        <v>586</v>
      </c>
      <c r="C27" s="555"/>
      <c r="D27" s="556"/>
      <c r="E27" s="556">
        <v>42.73631590005488</v>
      </c>
      <c r="F27" s="556">
        <v>42.37445311786735</v>
      </c>
      <c r="G27" s="556">
        <v>0</v>
      </c>
      <c r="H27" s="542"/>
      <c r="I27" s="542"/>
      <c r="J27" s="542"/>
      <c r="K27" s="542"/>
      <c r="L27" s="542"/>
    </row>
    <row r="28" spans="1:7" ht="14.25">
      <c r="A28" s="121"/>
      <c r="B28" s="554" t="s">
        <v>584</v>
      </c>
      <c r="C28" s="555"/>
      <c r="D28" s="556"/>
      <c r="E28" s="556">
        <v>42.97912</v>
      </c>
      <c r="F28" s="556">
        <v>40.71066866764678</v>
      </c>
      <c r="G28" s="556">
        <v>41.61114442541707</v>
      </c>
    </row>
    <row r="29" spans="1:12" ht="14.25">
      <c r="A29" s="121"/>
      <c r="B29" s="554" t="s">
        <v>587</v>
      </c>
      <c r="C29" s="555"/>
      <c r="D29" s="556"/>
      <c r="E29" s="556">
        <v>13.2025532421874</v>
      </c>
      <c r="F29" s="556">
        <v>11.769353105727118</v>
      </c>
      <c r="G29" s="556">
        <v>0</v>
      </c>
      <c r="H29" s="542"/>
      <c r="I29" s="542"/>
      <c r="J29" s="542"/>
      <c r="K29" s="542"/>
      <c r="L29" s="542"/>
    </row>
    <row r="30" spans="1:7" ht="14.25">
      <c r="A30" s="121"/>
      <c r="B30" s="554" t="s">
        <v>585</v>
      </c>
      <c r="C30" s="555"/>
      <c r="D30" s="556"/>
      <c r="E30" s="556">
        <v>19.1387998</v>
      </c>
      <c r="F30" s="556">
        <v>24.53683091422384</v>
      </c>
      <c r="G30" s="556">
        <v>27.727135208739416</v>
      </c>
    </row>
    <row r="31" spans="1:12" ht="14.25">
      <c r="A31" s="121"/>
      <c r="B31" s="77" t="s">
        <v>482</v>
      </c>
      <c r="C31" s="553"/>
      <c r="D31" s="542"/>
      <c r="E31" s="542">
        <v>62.1179198</v>
      </c>
      <c r="F31" s="542">
        <v>65.24749958187061</v>
      </c>
      <c r="G31" s="542">
        <v>69.33827963415649</v>
      </c>
      <c r="H31" s="542"/>
      <c r="I31" s="542"/>
      <c r="J31" s="542"/>
      <c r="K31" s="542"/>
      <c r="L31" s="542"/>
    </row>
    <row r="32" spans="1:12" ht="14.25">
      <c r="A32" s="121"/>
      <c r="B32" s="559" t="s">
        <v>310</v>
      </c>
      <c r="C32" s="560"/>
      <c r="D32" s="561"/>
      <c r="E32" s="561">
        <v>42.97912</v>
      </c>
      <c r="F32" s="561">
        <v>40.71066866764677</v>
      </c>
      <c r="G32" s="542"/>
      <c r="H32" s="542"/>
      <c r="I32" s="542"/>
      <c r="J32" s="542"/>
      <c r="K32" s="542"/>
      <c r="L32" s="542"/>
    </row>
    <row r="33" spans="1:12" ht="14.25">
      <c r="A33" s="121"/>
      <c r="B33" s="559" t="s">
        <v>311</v>
      </c>
      <c r="C33" s="560"/>
      <c r="D33" s="561"/>
      <c r="E33" s="561">
        <v>19.1387998</v>
      </c>
      <c r="F33" s="561">
        <v>24.53683091422384</v>
      </c>
      <c r="G33" s="542"/>
      <c r="H33" s="542"/>
      <c r="I33" s="542"/>
      <c r="J33" s="542"/>
      <c r="K33" s="542"/>
      <c r="L33" s="542"/>
    </row>
    <row r="34" spans="1:12" ht="14.25">
      <c r="A34" s="121"/>
      <c r="B34" s="77"/>
      <c r="C34" s="553"/>
      <c r="D34" s="542"/>
      <c r="E34" s="542"/>
      <c r="F34" s="542"/>
      <c r="G34" s="558"/>
      <c r="H34" s="542"/>
      <c r="I34" s="542"/>
      <c r="J34" s="542"/>
      <c r="K34" s="542"/>
      <c r="L34" s="542"/>
    </row>
    <row r="35" spans="1:12" ht="14.25">
      <c r="A35" s="121"/>
      <c r="B35" s="77"/>
      <c r="C35" s="553"/>
      <c r="D35" s="542"/>
      <c r="E35" s="542"/>
      <c r="F35" s="542"/>
      <c r="G35" s="558"/>
      <c r="H35" s="542"/>
      <c r="I35" s="542"/>
      <c r="J35" s="542"/>
      <c r="K35" s="542"/>
      <c r="L35" s="542"/>
    </row>
    <row r="36" spans="1:13" ht="14.25">
      <c r="A36" s="121"/>
      <c r="B36" s="216" t="s">
        <v>154</v>
      </c>
      <c r="C36" s="553"/>
      <c r="D36" s="542"/>
      <c r="E36" s="542"/>
      <c r="F36" s="542"/>
      <c r="G36" s="558"/>
      <c r="H36" s="542"/>
      <c r="I36" s="542"/>
      <c r="J36" s="542"/>
      <c r="K36" s="542"/>
      <c r="L36" s="542"/>
      <c r="M36" s="71"/>
    </row>
    <row r="37" spans="1:13" ht="14.25">
      <c r="A37" s="121"/>
      <c r="B37" s="71" t="s">
        <v>153</v>
      </c>
      <c r="C37" s="553"/>
      <c r="D37" s="542"/>
      <c r="E37" s="542"/>
      <c r="F37" s="542"/>
      <c r="G37" s="558"/>
      <c r="H37" s="557">
        <v>-85.64689155208414</v>
      </c>
      <c r="I37" s="557">
        <v>-86.72534480098044</v>
      </c>
      <c r="J37" s="557">
        <v>-86.16969136629552</v>
      </c>
      <c r="K37" s="557">
        <v>-85.84847402685476</v>
      </c>
      <c r="L37" s="557">
        <v>-84.93047766304386</v>
      </c>
      <c r="M37" s="71"/>
    </row>
    <row r="38" spans="1:13" ht="14.25">
      <c r="A38" s="121"/>
      <c r="B38" s="71" t="s">
        <v>727</v>
      </c>
      <c r="C38" s="553"/>
      <c r="D38" s="542"/>
      <c r="E38" s="542"/>
      <c r="F38" s="542"/>
      <c r="G38" s="558"/>
      <c r="H38" s="557">
        <v>42.47115162456252</v>
      </c>
      <c r="I38" s="557">
        <v>38.653350702217</v>
      </c>
      <c r="J38" s="557">
        <v>28.396291675195087</v>
      </c>
      <c r="K38" s="557">
        <v>57.58464296661071</v>
      </c>
      <c r="L38" s="557">
        <v>43.319524349457275</v>
      </c>
      <c r="M38" s="71"/>
    </row>
    <row r="39" spans="1:13" ht="14.25">
      <c r="A39" s="121"/>
      <c r="B39" s="71" t="s">
        <v>155</v>
      </c>
      <c r="C39" s="553"/>
      <c r="D39" s="542"/>
      <c r="E39" s="542"/>
      <c r="F39" s="542"/>
      <c r="G39" s="558"/>
      <c r="H39" s="557">
        <v>43.20099999999999</v>
      </c>
      <c r="I39" s="557">
        <v>44.79003293266824</v>
      </c>
      <c r="J39" s="557">
        <v>45.63474083139343</v>
      </c>
      <c r="K39" s="557">
        <v>45.55087275976769</v>
      </c>
      <c r="L39" s="557">
        <v>45.99521940542739</v>
      </c>
      <c r="M39" s="71"/>
    </row>
    <row r="40" spans="1:13" ht="14.25">
      <c r="A40" s="121"/>
      <c r="B40" s="71" t="s">
        <v>156</v>
      </c>
      <c r="C40" s="553"/>
      <c r="D40" s="542"/>
      <c r="E40" s="542"/>
      <c r="F40" s="542"/>
      <c r="G40" s="558"/>
      <c r="H40" s="557">
        <v>30.983646903605752</v>
      </c>
      <c r="I40" s="557">
        <v>51.020262551534984</v>
      </c>
      <c r="J40" s="557">
        <v>25.795359883776072</v>
      </c>
      <c r="K40" s="557">
        <v>26.19544978485304</v>
      </c>
      <c r="L40" s="557">
        <v>26.02397918490121</v>
      </c>
      <c r="M40" s="71"/>
    </row>
    <row r="41" spans="1:13" ht="14.25">
      <c r="A41" s="121"/>
      <c r="B41" s="71" t="s">
        <v>820</v>
      </c>
      <c r="C41" s="553"/>
      <c r="D41" s="542"/>
      <c r="E41" s="542"/>
      <c r="F41" s="542"/>
      <c r="G41" s="558"/>
      <c r="H41" s="557">
        <v>111.97538500312208</v>
      </c>
      <c r="I41" s="557">
        <v>125.27421951359372</v>
      </c>
      <c r="J41" s="557">
        <v>96.21677319752311</v>
      </c>
      <c r="K41" s="557">
        <v>100.05528956280578</v>
      </c>
      <c r="L41" s="557">
        <v>93.9175677864435</v>
      </c>
      <c r="M41" s="71"/>
    </row>
    <row r="42" spans="1:13" ht="14.25">
      <c r="A42" s="121"/>
      <c r="B42" s="63" t="s">
        <v>158</v>
      </c>
      <c r="C42" s="553"/>
      <c r="D42" s="542"/>
      <c r="E42" s="542"/>
      <c r="F42" s="542"/>
      <c r="G42" s="558"/>
      <c r="H42" s="557">
        <v>76.49188862384854</v>
      </c>
      <c r="I42" s="557">
        <v>100.86969901824078</v>
      </c>
      <c r="J42" s="557">
        <v>77.35692475634534</v>
      </c>
      <c r="K42" s="557">
        <v>78.69240709538082</v>
      </c>
      <c r="L42" s="557">
        <v>80.4305405878664</v>
      </c>
      <c r="M42" s="71"/>
    </row>
    <row r="43" spans="1:13" ht="14.25">
      <c r="A43" s="121"/>
      <c r="B43" s="63" t="s">
        <v>159</v>
      </c>
      <c r="C43" s="553"/>
      <c r="D43" s="542"/>
      <c r="E43" s="542"/>
      <c r="F43" s="542"/>
      <c r="G43" s="558"/>
      <c r="H43" s="557">
        <v>49.4453193636725</v>
      </c>
      <c r="I43" s="557">
        <v>38.667538708</v>
      </c>
      <c r="J43" s="557">
        <v>31.33320271199999</v>
      </c>
      <c r="K43" s="557">
        <v>35.29178625200001</v>
      </c>
      <c r="L43" s="557">
        <v>30.051301355999996</v>
      </c>
      <c r="M43" s="71"/>
    </row>
    <row r="44" spans="1:13" ht="14.25">
      <c r="A44" s="121"/>
      <c r="B44" s="63" t="s">
        <v>67</v>
      </c>
      <c r="C44" s="553"/>
      <c r="D44" s="542"/>
      <c r="E44" s="542"/>
      <c r="F44" s="542"/>
      <c r="G44" s="558"/>
      <c r="H44" s="557">
        <v>-30.9</v>
      </c>
      <c r="I44" s="557">
        <v>-30.9</v>
      </c>
      <c r="J44" s="557">
        <v>-30.9</v>
      </c>
      <c r="K44" s="557">
        <v>-30.9</v>
      </c>
      <c r="L44" s="557">
        <v>-30.9</v>
      </c>
      <c r="M44" s="71"/>
    </row>
    <row r="45" spans="1:13" ht="14.25">
      <c r="A45" s="121"/>
      <c r="B45" s="63" t="s">
        <v>57</v>
      </c>
      <c r="C45" s="553"/>
      <c r="D45" s="542"/>
      <c r="E45" s="542"/>
      <c r="F45" s="542"/>
      <c r="G45" s="558"/>
      <c r="H45" s="557">
        <v>-47.3</v>
      </c>
      <c r="I45" s="557">
        <v>-48.5</v>
      </c>
      <c r="J45" s="557">
        <v>-49.9</v>
      </c>
      <c r="K45" s="557">
        <v>-50.8</v>
      </c>
      <c r="L45" s="557">
        <v>-52.3</v>
      </c>
      <c r="M45" s="71"/>
    </row>
    <row r="46" spans="1:13" ht="14.25">
      <c r="A46" s="121"/>
      <c r="B46" s="71" t="s">
        <v>157</v>
      </c>
      <c r="C46" s="553"/>
      <c r="D46" s="542"/>
      <c r="E46" s="542"/>
      <c r="F46" s="542"/>
      <c r="G46" s="558"/>
      <c r="H46" s="557">
        <v>10.741711260474716</v>
      </c>
      <c r="I46" s="557">
        <v>10.741711260474716</v>
      </c>
      <c r="J46" s="557">
        <v>10.741711260474716</v>
      </c>
      <c r="K46" s="557">
        <v>10.741711260474716</v>
      </c>
      <c r="L46" s="557">
        <v>10.741711260474716</v>
      </c>
      <c r="M46" s="71"/>
    </row>
    <row r="47" spans="1:13" ht="14.25">
      <c r="A47" s="121"/>
      <c r="B47" s="71" t="s">
        <v>819</v>
      </c>
      <c r="C47" s="553"/>
      <c r="D47" s="542"/>
      <c r="E47" s="143"/>
      <c r="F47" s="143"/>
      <c r="G47" s="143"/>
      <c r="H47" s="510">
        <v>-20.227805907226042</v>
      </c>
      <c r="I47" s="510">
        <v>-21.303684748780054</v>
      </c>
      <c r="J47" s="510">
        <v>-20.469947293164374</v>
      </c>
      <c r="K47" s="510">
        <v>-22.122473556475658</v>
      </c>
      <c r="L47" s="510">
        <v>-22.93443705794322</v>
      </c>
      <c r="M47" s="71"/>
    </row>
    <row r="48" spans="1:13" ht="14.25">
      <c r="A48" s="121"/>
      <c r="B48" s="216"/>
      <c r="C48" s="553"/>
      <c r="D48" s="542"/>
      <c r="E48" s="542"/>
      <c r="F48" s="542"/>
      <c r="G48" s="558"/>
      <c r="H48" s="542"/>
      <c r="I48" s="542"/>
      <c r="J48" s="542"/>
      <c r="K48" s="542"/>
      <c r="L48" s="542"/>
      <c r="M48" s="71"/>
    </row>
    <row r="49" spans="1:12" ht="14.25">
      <c r="A49" s="121"/>
      <c r="B49" s="122" t="s">
        <v>419</v>
      </c>
      <c r="C49" s="553"/>
      <c r="D49" s="542"/>
      <c r="E49" s="542"/>
      <c r="F49" s="542"/>
      <c r="G49" s="542"/>
      <c r="H49" s="542"/>
      <c r="I49" s="542"/>
      <c r="J49" s="542"/>
      <c r="K49" s="542"/>
      <c r="L49" s="542"/>
    </row>
    <row r="50" spans="1:12" ht="14.25">
      <c r="A50" s="121"/>
      <c r="B50" s="77" t="s">
        <v>160</v>
      </c>
      <c r="C50" s="553"/>
      <c r="D50" s="542"/>
      <c r="E50" s="543">
        <v>9.1</v>
      </c>
      <c r="F50" s="543">
        <v>7.5</v>
      </c>
      <c r="G50" s="543">
        <v>8</v>
      </c>
      <c r="H50" s="543">
        <v>8.1</v>
      </c>
      <c r="I50" s="543">
        <v>8.3</v>
      </c>
      <c r="J50" s="543">
        <v>8.3</v>
      </c>
      <c r="K50" s="543">
        <v>8.5</v>
      </c>
      <c r="L50" s="543">
        <v>8.8</v>
      </c>
    </row>
    <row r="51" spans="1:12" ht="14.25">
      <c r="A51" s="121"/>
      <c r="B51" s="77"/>
      <c r="C51" s="553"/>
      <c r="D51" s="542"/>
      <c r="E51" s="542"/>
      <c r="F51" s="542"/>
      <c r="G51" s="542"/>
      <c r="H51" s="542"/>
      <c r="I51" s="542"/>
      <c r="J51" s="542"/>
      <c r="K51" s="542"/>
      <c r="L51" s="542"/>
    </row>
    <row r="52" spans="1:12" ht="14.25">
      <c r="A52" s="121"/>
      <c r="B52" s="77"/>
      <c r="C52" s="553"/>
      <c r="D52" s="542"/>
      <c r="E52" s="542"/>
      <c r="F52" s="542"/>
      <c r="G52" s="542"/>
      <c r="H52" s="542"/>
      <c r="I52" s="542"/>
      <c r="J52" s="542"/>
      <c r="K52" s="542"/>
      <c r="L52" s="542"/>
    </row>
    <row r="53" spans="1:12" ht="14.25">
      <c r="A53" s="121"/>
      <c r="B53" s="110" t="s">
        <v>161</v>
      </c>
      <c r="C53" s="553"/>
      <c r="D53" s="542"/>
      <c r="E53" s="542"/>
      <c r="F53" s="542"/>
      <c r="G53" s="542"/>
      <c r="H53" s="542"/>
      <c r="I53" s="542"/>
      <c r="J53" s="542"/>
      <c r="K53" s="542"/>
      <c r="L53" s="542"/>
    </row>
    <row r="54" spans="1:12" ht="14.25">
      <c r="A54" s="121"/>
      <c r="B54" s="545" t="s">
        <v>535</v>
      </c>
      <c r="C54" s="549"/>
      <c r="D54" s="546"/>
      <c r="E54" s="546">
        <v>5.964904447853475</v>
      </c>
      <c r="F54" s="546">
        <v>5.63981748149935</v>
      </c>
      <c r="G54" s="563">
        <v>10.741711260474716</v>
      </c>
      <c r="H54" s="542"/>
      <c r="I54" s="542"/>
      <c r="J54" s="542"/>
      <c r="K54" s="542"/>
      <c r="L54" s="542"/>
    </row>
    <row r="55" spans="1:12" ht="14.25">
      <c r="A55" s="121"/>
      <c r="B55" s="554" t="s">
        <v>536</v>
      </c>
      <c r="C55" s="555"/>
      <c r="D55" s="556"/>
      <c r="E55" s="556">
        <v>10.8</v>
      </c>
      <c r="F55" s="556">
        <v>11.5</v>
      </c>
      <c r="G55" s="556">
        <v>10.8</v>
      </c>
      <c r="H55" s="542"/>
      <c r="I55" s="542"/>
      <c r="J55" s="542"/>
      <c r="K55" s="542"/>
      <c r="L55" s="542"/>
    </row>
    <row r="56" spans="1:7" ht="14.25">
      <c r="A56" s="121"/>
      <c r="B56" s="564" t="s">
        <v>768</v>
      </c>
      <c r="C56" s="565"/>
      <c r="D56" s="566"/>
      <c r="E56" s="566">
        <v>11.3</v>
      </c>
      <c r="F56" s="566">
        <v>10.741711260474716</v>
      </c>
      <c r="G56" s="566">
        <v>10.741711260474716</v>
      </c>
    </row>
    <row r="57" spans="1:7" ht="14.25">
      <c r="A57" s="121"/>
      <c r="B57" s="545" t="s">
        <v>537</v>
      </c>
      <c r="C57" s="549"/>
      <c r="D57" s="546"/>
      <c r="E57" s="546">
        <v>2.971796346693406</v>
      </c>
      <c r="F57" s="546">
        <v>2.8961360483324716</v>
      </c>
      <c r="G57" s="563">
        <v>7.877664818041094</v>
      </c>
    </row>
    <row r="58" spans="1:12" s="71" customFormat="1" ht="14.25">
      <c r="A58" s="121"/>
      <c r="B58" s="121"/>
      <c r="C58" s="562"/>
      <c r="D58" s="558"/>
      <c r="E58" s="558"/>
      <c r="F58" s="558"/>
      <c r="G58" s="172"/>
      <c r="H58" s="558"/>
      <c r="I58" s="558"/>
      <c r="J58" s="558"/>
      <c r="K58" s="558"/>
      <c r="L58" s="558"/>
    </row>
    <row r="59" spans="1:12" ht="14.25">
      <c r="A59" s="121"/>
      <c r="B59" s="554" t="s">
        <v>659</v>
      </c>
      <c r="C59" s="555"/>
      <c r="D59" s="556"/>
      <c r="E59" s="556">
        <v>4.376339781397307</v>
      </c>
      <c r="F59" s="556">
        <v>5.2295454545454545</v>
      </c>
      <c r="G59" s="556">
        <v>4.385454545454546</v>
      </c>
      <c r="H59" s="542"/>
      <c r="I59" s="542"/>
      <c r="J59" s="542"/>
      <c r="K59" s="542"/>
      <c r="L59" s="542"/>
    </row>
    <row r="60" spans="1:12" ht="14.25">
      <c r="A60" s="121"/>
      <c r="B60" s="564" t="s">
        <v>300</v>
      </c>
      <c r="C60" s="565"/>
      <c r="D60" s="566"/>
      <c r="E60" s="567">
        <v>0.233</v>
      </c>
      <c r="F60" s="567">
        <v>0.31</v>
      </c>
      <c r="G60" s="567">
        <v>0.311</v>
      </c>
      <c r="I60" s="542"/>
      <c r="J60" s="542"/>
      <c r="K60" s="542"/>
      <c r="L60" s="542"/>
    </row>
    <row r="61" spans="1:12" ht="14.25">
      <c r="A61" s="121"/>
      <c r="B61" s="77" t="s">
        <v>570</v>
      </c>
      <c r="C61" s="553"/>
      <c r="D61" s="542"/>
      <c r="E61" s="566">
        <v>24.56957253691406</v>
      </c>
      <c r="F61" s="566">
        <v>2.5229268292682927</v>
      </c>
      <c r="G61" s="566">
        <v>3.36390243902439</v>
      </c>
      <c r="H61" s="542"/>
      <c r="I61" s="542"/>
      <c r="J61" s="542"/>
      <c r="K61" s="542"/>
      <c r="L61" s="542"/>
    </row>
    <row r="62" spans="1:12" ht="14.25">
      <c r="A62" s="121"/>
      <c r="B62" s="63" t="s">
        <v>431</v>
      </c>
      <c r="C62" s="553"/>
      <c r="D62" s="542"/>
      <c r="E62" s="542"/>
      <c r="F62" s="542"/>
      <c r="G62" s="566">
        <v>2.9013078493579356</v>
      </c>
      <c r="H62" s="542"/>
      <c r="I62" s="542"/>
      <c r="J62" s="542"/>
      <c r="K62" s="542"/>
      <c r="L62" s="543"/>
    </row>
    <row r="63" spans="1:12" ht="14.25">
      <c r="A63" s="121"/>
      <c r="B63" s="63" t="s">
        <v>658</v>
      </c>
      <c r="C63" s="553"/>
      <c r="D63" s="542"/>
      <c r="E63" s="542">
        <v>4.8</v>
      </c>
      <c r="F63" s="542">
        <v>9.7</v>
      </c>
      <c r="G63" s="542">
        <v>10.9</v>
      </c>
      <c r="H63" s="542"/>
      <c r="I63" s="542"/>
      <c r="J63" s="542"/>
      <c r="K63" s="542"/>
      <c r="L63" s="543"/>
    </row>
    <row r="64" spans="2:12" ht="14.25">
      <c r="B64" s="63" t="s">
        <v>661</v>
      </c>
      <c r="E64" s="70">
        <v>0.24</v>
      </c>
      <c r="F64" s="70">
        <v>0.7</v>
      </c>
      <c r="G64" s="70">
        <v>1.1</v>
      </c>
      <c r="H64" s="542"/>
      <c r="I64" s="542"/>
      <c r="J64" s="542"/>
      <c r="K64" s="542"/>
      <c r="L64" s="543"/>
    </row>
    <row r="65" spans="1:12" ht="14.25">
      <c r="A65" s="121"/>
      <c r="B65" s="77" t="s">
        <v>495</v>
      </c>
      <c r="C65" s="77"/>
      <c r="D65" s="542">
        <v>1216.1632941803011</v>
      </c>
      <c r="E65" s="542"/>
      <c r="F65" s="542"/>
      <c r="G65" s="542"/>
      <c r="H65" s="542"/>
      <c r="I65" s="542"/>
      <c r="J65" s="542"/>
      <c r="K65" s="542"/>
      <c r="L65" s="543"/>
    </row>
    <row r="66" spans="2:7" ht="14.25">
      <c r="B66" s="63" t="s">
        <v>550</v>
      </c>
      <c r="E66" s="556">
        <v>0</v>
      </c>
      <c r="F66" s="556">
        <v>0</v>
      </c>
      <c r="G66" s="556">
        <v>0</v>
      </c>
    </row>
    <row r="67" spans="2:7" ht="14.25">
      <c r="B67" s="63" t="s">
        <v>551</v>
      </c>
      <c r="E67" s="556">
        <v>0</v>
      </c>
      <c r="F67" s="556">
        <v>0</v>
      </c>
      <c r="G67" s="556">
        <v>0</v>
      </c>
    </row>
    <row r="68" ht="14.25"/>
    <row r="69" ht="14.25">
      <c r="B69" s="69"/>
    </row>
    <row r="70" spans="2:7" ht="14.25">
      <c r="B70" s="554" t="s">
        <v>785</v>
      </c>
      <c r="E70" s="568">
        <v>266.7</v>
      </c>
      <c r="F70" s="568">
        <v>259.8</v>
      </c>
      <c r="G70" s="568">
        <v>292.4</v>
      </c>
    </row>
    <row r="71" spans="2:7" ht="14.25">
      <c r="B71" s="554" t="s">
        <v>66</v>
      </c>
      <c r="E71" s="568">
        <v>-85.5</v>
      </c>
      <c r="F71" s="568">
        <v>-87.5</v>
      </c>
      <c r="G71" s="568">
        <v>-89</v>
      </c>
    </row>
    <row r="72" spans="2:12" ht="14.25">
      <c r="B72" s="554" t="s">
        <v>67</v>
      </c>
      <c r="E72" s="568">
        <v>-27.3</v>
      </c>
      <c r="F72" s="568">
        <v>-29.2</v>
      </c>
      <c r="G72" s="568">
        <v>-30.9</v>
      </c>
      <c r="H72" s="121"/>
      <c r="I72" s="121"/>
      <c r="J72" s="121"/>
      <c r="K72" s="121"/>
      <c r="L72" s="121"/>
    </row>
    <row r="73" spans="2:12" ht="14.25">
      <c r="B73" s="554" t="s">
        <v>8</v>
      </c>
      <c r="E73" s="568">
        <v>-21.570446365833334</v>
      </c>
      <c r="F73" s="568">
        <v>-22.597856</v>
      </c>
      <c r="G73" s="568">
        <v>-22.597856</v>
      </c>
      <c r="H73" s="71"/>
      <c r="I73" s="71"/>
      <c r="J73" s="71"/>
      <c r="K73" s="71"/>
      <c r="L73" s="71"/>
    </row>
    <row r="74" spans="2:12" ht="14.25">
      <c r="B74" s="554" t="s">
        <v>754</v>
      </c>
      <c r="E74" s="568">
        <v>7.6</v>
      </c>
      <c r="F74" s="568">
        <v>8</v>
      </c>
      <c r="G74" s="568">
        <v>8</v>
      </c>
      <c r="H74" s="71"/>
      <c r="I74" s="71"/>
      <c r="J74" s="71"/>
      <c r="K74" s="71"/>
      <c r="L74" s="71"/>
    </row>
    <row r="75" spans="2:12" ht="14.25">
      <c r="B75" s="554" t="s">
        <v>57</v>
      </c>
      <c r="E75" s="568">
        <v>-44.3</v>
      </c>
      <c r="F75" s="568">
        <v>-44.9</v>
      </c>
      <c r="G75" s="568">
        <v>-45.7</v>
      </c>
      <c r="H75" s="569"/>
      <c r="I75" s="569"/>
      <c r="J75" s="569"/>
      <c r="K75" s="569"/>
      <c r="L75" s="569"/>
    </row>
    <row r="76" spans="2:12" ht="14.25">
      <c r="B76" s="554" t="s">
        <v>162</v>
      </c>
      <c r="E76" s="568">
        <v>29.994756994222943</v>
      </c>
      <c r="F76" s="568">
        <v>30.296469592854457</v>
      </c>
      <c r="G76" s="568">
        <v>38.1356759100732</v>
      </c>
      <c r="H76" s="558"/>
      <c r="I76" s="558"/>
      <c r="J76" s="558"/>
      <c r="K76" s="558"/>
      <c r="L76" s="558"/>
    </row>
    <row r="77" spans="2:12" ht="14.25">
      <c r="B77" s="554" t="s">
        <v>586</v>
      </c>
      <c r="E77" s="568">
        <v>42.73631590005488</v>
      </c>
      <c r="F77" s="568">
        <v>42.37445311786735</v>
      </c>
      <c r="G77" s="568">
        <v>0</v>
      </c>
      <c r="H77" s="71"/>
      <c r="I77" s="71"/>
      <c r="J77" s="71"/>
      <c r="K77" s="71"/>
      <c r="L77" s="71"/>
    </row>
    <row r="78" spans="2:12" ht="14.25">
      <c r="B78" s="554" t="s">
        <v>584</v>
      </c>
      <c r="E78" s="568">
        <v>42.97912</v>
      </c>
      <c r="F78" s="568">
        <v>40.71066866764678</v>
      </c>
      <c r="G78" s="568">
        <v>41.61114442541707</v>
      </c>
      <c r="H78" s="558"/>
      <c r="I78" s="558"/>
      <c r="J78" s="558"/>
      <c r="K78" s="558"/>
      <c r="L78" s="558"/>
    </row>
    <row r="79" spans="2:12" ht="14.25">
      <c r="B79" s="554" t="s">
        <v>587</v>
      </c>
      <c r="E79" s="568">
        <v>13.2025532421874</v>
      </c>
      <c r="F79" s="568">
        <v>11.769353105727118</v>
      </c>
      <c r="G79" s="568">
        <v>0</v>
      </c>
      <c r="H79" s="71"/>
      <c r="I79" s="71"/>
      <c r="J79" s="71"/>
      <c r="K79" s="71"/>
      <c r="L79" s="71"/>
    </row>
    <row r="80" spans="2:12" ht="14.25">
      <c r="B80" s="554" t="s">
        <v>585</v>
      </c>
      <c r="E80" s="568">
        <v>19.1387998</v>
      </c>
      <c r="F80" s="568">
        <v>24.53683091422384</v>
      </c>
      <c r="G80" s="568">
        <v>27.727135208739416</v>
      </c>
      <c r="H80" s="558"/>
      <c r="I80" s="558"/>
      <c r="J80" s="558"/>
      <c r="K80" s="558"/>
      <c r="L80" s="558"/>
    </row>
    <row r="81" spans="2:12" ht="14.25">
      <c r="B81" s="554" t="s">
        <v>588</v>
      </c>
      <c r="E81" s="568">
        <v>0</v>
      </c>
      <c r="F81" s="568">
        <v>0</v>
      </c>
      <c r="G81" s="568">
        <v>0</v>
      </c>
      <c r="H81" s="71"/>
      <c r="I81" s="71"/>
      <c r="J81" s="71"/>
      <c r="K81" s="71"/>
      <c r="L81" s="71"/>
    </row>
    <row r="82" spans="2:12" ht="14.25">
      <c r="B82" s="554" t="s">
        <v>589</v>
      </c>
      <c r="E82" s="568">
        <v>0</v>
      </c>
      <c r="F82" s="568">
        <v>0</v>
      </c>
      <c r="G82" s="568">
        <v>0</v>
      </c>
      <c r="H82" s="71"/>
      <c r="I82" s="71"/>
      <c r="J82" s="71"/>
      <c r="K82" s="71"/>
      <c r="L82" s="71"/>
    </row>
    <row r="83" spans="2:12" ht="14.25">
      <c r="B83" s="554" t="s">
        <v>536</v>
      </c>
      <c r="C83" s="555"/>
      <c r="D83" s="556"/>
      <c r="E83" s="568">
        <v>10.8</v>
      </c>
      <c r="F83" s="568">
        <v>11.5</v>
      </c>
      <c r="G83" s="568">
        <v>10.8</v>
      </c>
      <c r="H83" s="569"/>
      <c r="I83" s="569"/>
      <c r="J83" s="569"/>
      <c r="K83" s="569"/>
      <c r="L83" s="569"/>
    </row>
    <row r="84" spans="2:12" ht="14.25">
      <c r="B84" s="554" t="s">
        <v>163</v>
      </c>
      <c r="C84" s="555"/>
      <c r="D84" s="556"/>
      <c r="E84" s="568">
        <v>2.6200006629617953</v>
      </c>
      <c r="F84" s="568">
        <v>2.553296888967963</v>
      </c>
      <c r="G84" s="568">
        <v>0</v>
      </c>
      <c r="H84" s="569"/>
      <c r="I84" s="569"/>
      <c r="J84" s="569"/>
      <c r="K84" s="569"/>
      <c r="L84" s="569"/>
    </row>
    <row r="85" spans="2:7" ht="14.25">
      <c r="B85" s="554" t="s">
        <v>607</v>
      </c>
      <c r="C85" s="555"/>
      <c r="D85" s="556"/>
      <c r="E85" s="568">
        <v>5.49947122972051</v>
      </c>
      <c r="F85" s="568">
        <v>6.5</v>
      </c>
      <c r="G85" s="568">
        <v>6.7</v>
      </c>
    </row>
    <row r="86" spans="2:7" ht="14.25">
      <c r="B86" s="554" t="s">
        <v>481</v>
      </c>
      <c r="C86" s="555"/>
      <c r="D86" s="556"/>
      <c r="E86" s="70">
        <v>4.376339781397307</v>
      </c>
      <c r="F86" s="70">
        <v>5.2295454545454545</v>
      </c>
      <c r="G86" s="70">
        <v>4.385454545454546</v>
      </c>
    </row>
    <row r="87" spans="2:7" ht="14.25">
      <c r="B87" s="554" t="s">
        <v>657</v>
      </c>
      <c r="C87" s="555"/>
      <c r="D87" s="556"/>
      <c r="E87" s="568">
        <v>4.8</v>
      </c>
      <c r="F87" s="568">
        <v>9.7</v>
      </c>
      <c r="G87" s="568">
        <v>10.9</v>
      </c>
    </row>
    <row r="88" spans="2:7" ht="14.25">
      <c r="B88" s="63" t="s">
        <v>667</v>
      </c>
      <c r="E88" s="542">
        <v>0.24</v>
      </c>
      <c r="F88" s="542">
        <v>0.7</v>
      </c>
      <c r="G88" s="542">
        <v>1.1</v>
      </c>
    </row>
    <row r="89" spans="5:7" ht="14.25">
      <c r="E89" s="542"/>
      <c r="F89" s="542"/>
      <c r="G89" s="542"/>
    </row>
    <row r="90" spans="5:7" ht="14.25">
      <c r="E90" s="542"/>
      <c r="F90" s="542"/>
      <c r="G90" s="542"/>
    </row>
    <row r="91" spans="2:7" ht="14.25">
      <c r="B91" s="69" t="s">
        <v>164</v>
      </c>
      <c r="E91" s="542"/>
      <c r="F91" s="542"/>
      <c r="G91" s="542"/>
    </row>
    <row r="92" spans="3:4" ht="14.25">
      <c r="C92" s="555"/>
      <c r="D92" s="556"/>
    </row>
    <row r="93" spans="2:7" ht="14.25">
      <c r="B93" s="554" t="s">
        <v>178</v>
      </c>
      <c r="C93" s="555"/>
      <c r="D93" s="556"/>
      <c r="E93" s="556">
        <v>0</v>
      </c>
      <c r="F93" s="556">
        <v>0</v>
      </c>
      <c r="G93" s="542">
        <v>0</v>
      </c>
    </row>
    <row r="94" spans="2:7" ht="14.25">
      <c r="B94" s="554" t="s">
        <v>179</v>
      </c>
      <c r="C94" s="555"/>
      <c r="D94" s="556"/>
      <c r="E94" s="556">
        <v>0</v>
      </c>
      <c r="F94" s="556">
        <v>0</v>
      </c>
      <c r="G94" s="542">
        <v>0</v>
      </c>
    </row>
    <row r="95" spans="2:7" ht="14.25">
      <c r="B95" s="554" t="s">
        <v>180</v>
      </c>
      <c r="C95" s="555"/>
      <c r="D95" s="556"/>
      <c r="E95" s="556">
        <v>0</v>
      </c>
      <c r="F95" s="556">
        <v>0</v>
      </c>
      <c r="G95" s="542">
        <v>0</v>
      </c>
    </row>
    <row r="96" spans="2:7" ht="14.25">
      <c r="B96" s="554" t="s">
        <v>192</v>
      </c>
      <c r="C96" s="555"/>
      <c r="D96" s="556"/>
      <c r="E96" s="556">
        <v>0</v>
      </c>
      <c r="F96" s="556">
        <v>0</v>
      </c>
      <c r="G96" s="542">
        <v>0</v>
      </c>
    </row>
    <row r="97" spans="2:7" ht="14.25">
      <c r="B97" s="554" t="s">
        <v>149</v>
      </c>
      <c r="C97" s="555"/>
      <c r="D97" s="556"/>
      <c r="E97" s="556">
        <v>5</v>
      </c>
      <c r="F97" s="556">
        <v>4</v>
      </c>
      <c r="G97" s="542">
        <v>4</v>
      </c>
    </row>
    <row r="98" spans="2:12" ht="25.5">
      <c r="B98" s="238" t="s">
        <v>231</v>
      </c>
      <c r="C98" s="555"/>
      <c r="D98" s="556"/>
      <c r="E98" s="570">
        <v>0.7957746478873239</v>
      </c>
      <c r="F98" s="570">
        <v>0.8045454545454546</v>
      </c>
      <c r="G98" s="570">
        <v>0.6545454545454545</v>
      </c>
      <c r="H98" s="557">
        <v>-0.7265154906391783</v>
      </c>
      <c r="I98" s="557">
        <v>-0.5654971124601261</v>
      </c>
      <c r="J98" s="557">
        <v>-0.5518373265485729</v>
      </c>
      <c r="K98" s="557">
        <v>-0.8150847077874815</v>
      </c>
      <c r="L98" s="557">
        <v>-0.7992477432401709</v>
      </c>
    </row>
    <row r="99" spans="2:7" ht="14.25">
      <c r="B99" s="582"/>
      <c r="E99" s="575"/>
      <c r="F99" s="575"/>
      <c r="G99" s="575"/>
    </row>
    <row r="100" spans="2:7" ht="14.25">
      <c r="B100" s="582"/>
      <c r="E100" s="575"/>
      <c r="F100" s="575"/>
      <c r="G100" s="575"/>
    </row>
    <row r="101" spans="2:7" ht="14.25">
      <c r="B101" s="582"/>
      <c r="E101" s="575"/>
      <c r="F101" s="575"/>
      <c r="G101" s="575"/>
    </row>
    <row r="102" ht="14.25">
      <c r="B102" s="69" t="s">
        <v>165</v>
      </c>
    </row>
    <row r="103" spans="2:12" ht="14.25">
      <c r="B103" s="63" t="s">
        <v>636</v>
      </c>
      <c r="E103" s="571">
        <v>161</v>
      </c>
      <c r="F103" s="571">
        <v>156.9</v>
      </c>
      <c r="G103" s="571">
        <v>152.8</v>
      </c>
      <c r="H103" s="571">
        <v>148.7</v>
      </c>
      <c r="I103" s="571">
        <v>144.6</v>
      </c>
      <c r="J103" s="571">
        <v>140.5</v>
      </c>
      <c r="K103" s="571">
        <v>136.4</v>
      </c>
      <c r="L103" s="571">
        <v>132.2</v>
      </c>
    </row>
    <row r="104" spans="2:12" ht="14.25">
      <c r="B104" s="63" t="s">
        <v>647</v>
      </c>
      <c r="E104" s="571">
        <v>1373.2</v>
      </c>
      <c r="F104" s="571">
        <v>1371.5</v>
      </c>
      <c r="G104" s="571">
        <v>1375.1</v>
      </c>
      <c r="H104" s="571">
        <v>1391.9</v>
      </c>
      <c r="I104" s="571">
        <v>1402.9</v>
      </c>
      <c r="J104" s="571">
        <v>1397.5</v>
      </c>
      <c r="K104" s="571">
        <v>1426.4</v>
      </c>
      <c r="L104" s="571">
        <v>1451.8</v>
      </c>
    </row>
    <row r="105" spans="2:13" ht="14.25">
      <c r="B105" s="63" t="s">
        <v>111</v>
      </c>
      <c r="M105" s="77"/>
    </row>
    <row r="106" ht="14.25"/>
    <row r="107" spans="2:12" ht="14.25">
      <c r="B107" s="63" t="s">
        <v>0</v>
      </c>
      <c r="E107" s="571" t="s">
        <v>21</v>
      </c>
      <c r="F107" s="571" t="s">
        <v>21</v>
      </c>
      <c r="G107" s="571" t="s">
        <v>21</v>
      </c>
      <c r="H107" s="571" t="s">
        <v>21</v>
      </c>
      <c r="I107" s="571" t="s">
        <v>21</v>
      </c>
      <c r="J107" s="571" t="s">
        <v>21</v>
      </c>
      <c r="K107" s="571" t="s">
        <v>21</v>
      </c>
      <c r="L107" s="571" t="s">
        <v>21</v>
      </c>
    </row>
    <row r="108" spans="2:12" ht="14.25">
      <c r="B108" s="63" t="s">
        <v>756</v>
      </c>
      <c r="E108" s="571">
        <v>4.9</v>
      </c>
      <c r="F108" s="571">
        <v>7</v>
      </c>
      <c r="G108" s="571">
        <v>6.7</v>
      </c>
      <c r="H108" s="571">
        <v>6.1</v>
      </c>
      <c r="I108" s="571">
        <v>5.2</v>
      </c>
      <c r="J108" s="571">
        <v>4.1</v>
      </c>
      <c r="K108" s="571">
        <v>2.5</v>
      </c>
      <c r="L108" s="571">
        <v>0.6</v>
      </c>
    </row>
    <row r="109" spans="2:12" ht="14.25">
      <c r="B109" s="63" t="s">
        <v>637</v>
      </c>
      <c r="E109" s="571">
        <v>39</v>
      </c>
      <c r="F109" s="571">
        <v>38.4</v>
      </c>
      <c r="G109" s="571">
        <v>38.4</v>
      </c>
      <c r="H109" s="571">
        <v>38.4</v>
      </c>
      <c r="I109" s="571">
        <v>38.4</v>
      </c>
      <c r="J109" s="571">
        <v>38.4</v>
      </c>
      <c r="K109" s="571">
        <v>38.4</v>
      </c>
      <c r="L109" s="571">
        <v>38.4</v>
      </c>
    </row>
    <row r="110" spans="2:12" ht="14.25">
      <c r="B110" s="63" t="s">
        <v>648</v>
      </c>
      <c r="E110" s="563">
        <v>15.9</v>
      </c>
      <c r="F110" s="563" t="s">
        <v>21</v>
      </c>
      <c r="G110" s="563" t="s">
        <v>21</v>
      </c>
      <c r="H110" s="563" t="s">
        <v>21</v>
      </c>
      <c r="I110" s="563" t="s">
        <v>21</v>
      </c>
      <c r="J110" s="563" t="s">
        <v>21</v>
      </c>
      <c r="K110" s="563" t="s">
        <v>21</v>
      </c>
      <c r="L110" s="563" t="s">
        <v>21</v>
      </c>
    </row>
    <row r="111" spans="2:12" ht="14.25">
      <c r="B111" s="63" t="s">
        <v>649</v>
      </c>
      <c r="E111" s="563" t="s">
        <v>21</v>
      </c>
      <c r="F111" s="563" t="s">
        <v>21</v>
      </c>
      <c r="G111" s="563" t="s">
        <v>21</v>
      </c>
      <c r="H111" s="563" t="s">
        <v>21</v>
      </c>
      <c r="I111" s="563" t="s">
        <v>21</v>
      </c>
      <c r="J111" s="563" t="s">
        <v>21</v>
      </c>
      <c r="K111" s="563" t="s">
        <v>21</v>
      </c>
      <c r="L111" s="563" t="s">
        <v>21</v>
      </c>
    </row>
    <row r="112" spans="2:12" ht="14.25">
      <c r="B112" s="63" t="s">
        <v>638</v>
      </c>
      <c r="E112" s="563">
        <v>10</v>
      </c>
      <c r="F112" s="563">
        <v>10</v>
      </c>
      <c r="G112" s="563">
        <v>10</v>
      </c>
      <c r="H112" s="563">
        <v>10</v>
      </c>
      <c r="I112" s="563">
        <v>10</v>
      </c>
      <c r="J112" s="563">
        <v>10</v>
      </c>
      <c r="K112" s="563">
        <v>10</v>
      </c>
      <c r="L112" s="563">
        <v>10</v>
      </c>
    </row>
    <row r="113" ht="14.25"/>
    <row r="114" spans="2:12" ht="14.25">
      <c r="B114" s="63" t="s">
        <v>639</v>
      </c>
      <c r="E114" s="573" t="s">
        <v>21</v>
      </c>
      <c r="F114" s="573" t="s">
        <v>21</v>
      </c>
      <c r="G114" s="573" t="s">
        <v>21</v>
      </c>
      <c r="H114" s="573" t="s">
        <v>21</v>
      </c>
      <c r="I114" s="573" t="s">
        <v>21</v>
      </c>
      <c r="J114" s="573" t="s">
        <v>21</v>
      </c>
      <c r="K114" s="573" t="s">
        <v>21</v>
      </c>
      <c r="L114" s="573" t="s">
        <v>21</v>
      </c>
    </row>
    <row r="115" spans="2:12" ht="14.25">
      <c r="B115" s="63" t="s">
        <v>640</v>
      </c>
      <c r="E115" s="574">
        <v>-5.1</v>
      </c>
      <c r="F115" s="574">
        <v>-5.1</v>
      </c>
      <c r="G115" s="574">
        <v>-5.1</v>
      </c>
      <c r="H115" s="574">
        <v>-5.1</v>
      </c>
      <c r="I115" s="574">
        <v>-5.1</v>
      </c>
      <c r="J115" s="574">
        <v>-5.1</v>
      </c>
      <c r="K115" s="574">
        <v>-5.1</v>
      </c>
      <c r="L115" s="574">
        <v>-5.1</v>
      </c>
    </row>
    <row r="116" spans="2:12" ht="14.25">
      <c r="B116" s="63" t="s">
        <v>641</v>
      </c>
      <c r="E116" s="574">
        <v>-110.8</v>
      </c>
      <c r="F116" s="574">
        <v>-113.7</v>
      </c>
      <c r="G116" s="574">
        <v>-114</v>
      </c>
      <c r="H116" s="574">
        <v>-113.8</v>
      </c>
      <c r="I116" s="574">
        <v>-113.8</v>
      </c>
      <c r="J116" s="574">
        <v>-113.9</v>
      </c>
      <c r="K116" s="574">
        <v>-113.9</v>
      </c>
      <c r="L116" s="574">
        <v>-113.8</v>
      </c>
    </row>
    <row r="117" spans="5:12" ht="14.25">
      <c r="E117" s="77"/>
      <c r="F117" s="77"/>
      <c r="G117" s="77"/>
      <c r="H117" s="77"/>
      <c r="I117" s="77"/>
      <c r="J117" s="77"/>
      <c r="K117" s="77"/>
      <c r="L117" s="77"/>
    </row>
    <row r="118" spans="2:12" ht="14.25">
      <c r="B118" s="63" t="s">
        <v>650</v>
      </c>
      <c r="E118" s="574">
        <v>-894.2</v>
      </c>
      <c r="F118" s="574">
        <v>-943.5</v>
      </c>
      <c r="G118" s="574">
        <v>-987</v>
      </c>
      <c r="H118" s="574">
        <v>-1044.5</v>
      </c>
      <c r="I118" s="574">
        <v>-1109.1</v>
      </c>
      <c r="J118" s="574">
        <v>-1154.3</v>
      </c>
      <c r="K118" s="574">
        <v>-1224.8</v>
      </c>
      <c r="L118" s="574">
        <v>-1294.8</v>
      </c>
    </row>
    <row r="119" spans="2:12" ht="14.25">
      <c r="B119" s="63" t="s">
        <v>651</v>
      </c>
      <c r="E119" s="574" t="s">
        <v>21</v>
      </c>
      <c r="F119" s="574" t="s">
        <v>21</v>
      </c>
      <c r="G119" s="574" t="s">
        <v>21</v>
      </c>
      <c r="H119" s="574" t="s">
        <v>21</v>
      </c>
      <c r="I119" s="574" t="s">
        <v>21</v>
      </c>
      <c r="J119" s="574" t="s">
        <v>21</v>
      </c>
      <c r="K119" s="574" t="s">
        <v>21</v>
      </c>
      <c r="L119" s="574" t="s">
        <v>21</v>
      </c>
    </row>
    <row r="120" spans="2:12" ht="14.25">
      <c r="B120" s="63" t="s">
        <v>642</v>
      </c>
      <c r="E120" s="574">
        <v>-11.6</v>
      </c>
      <c r="F120" s="574">
        <v>-11.6</v>
      </c>
      <c r="G120" s="574">
        <v>-11.6</v>
      </c>
      <c r="H120" s="574">
        <v>-11.6</v>
      </c>
      <c r="I120" s="574">
        <v>-11.6</v>
      </c>
      <c r="J120" s="574">
        <v>-11.6</v>
      </c>
      <c r="K120" s="574">
        <v>-11.6</v>
      </c>
      <c r="L120" s="574">
        <v>-11.6</v>
      </c>
    </row>
    <row r="121" spans="2:12" ht="14.25">
      <c r="B121" s="63" t="s">
        <v>788</v>
      </c>
      <c r="E121" s="574">
        <v>-100.4</v>
      </c>
      <c r="F121" s="574">
        <v>-104.4</v>
      </c>
      <c r="G121" s="574">
        <v>-109.6</v>
      </c>
      <c r="H121" s="574">
        <v>-112.3</v>
      </c>
      <c r="I121" s="574">
        <v>-109.7</v>
      </c>
      <c r="J121" s="574">
        <v>-115.2</v>
      </c>
      <c r="K121" s="574">
        <v>-116.6</v>
      </c>
      <c r="L121" s="574">
        <v>-118.1</v>
      </c>
    </row>
    <row r="122" spans="2:12" ht="14.25">
      <c r="B122" s="63" t="s">
        <v>69</v>
      </c>
      <c r="E122" s="574" t="s">
        <v>21</v>
      </c>
      <c r="F122" s="574" t="s">
        <v>21</v>
      </c>
      <c r="G122" s="574" t="s">
        <v>21</v>
      </c>
      <c r="H122" s="574" t="s">
        <v>21</v>
      </c>
      <c r="I122" s="574" t="s">
        <v>21</v>
      </c>
      <c r="J122" s="574" t="s">
        <v>21</v>
      </c>
      <c r="K122" s="574" t="s">
        <v>21</v>
      </c>
      <c r="L122" s="574" t="s">
        <v>21</v>
      </c>
    </row>
    <row r="123" spans="2:12" ht="14.25">
      <c r="B123" s="63" t="s">
        <v>344</v>
      </c>
      <c r="E123" s="574">
        <v>-15.4</v>
      </c>
      <c r="F123" s="574">
        <v>-13.5</v>
      </c>
      <c r="G123" s="574">
        <v>-10.9</v>
      </c>
      <c r="H123" s="574">
        <v>-8.2</v>
      </c>
      <c r="I123" s="574">
        <v>-5.4</v>
      </c>
      <c r="J123" s="574">
        <v>-2.5</v>
      </c>
      <c r="K123" s="574">
        <v>0.4</v>
      </c>
      <c r="L123" s="574">
        <v>3.4</v>
      </c>
    </row>
    <row r="124" spans="2:12" ht="14.25">
      <c r="B124" s="63" t="s">
        <v>643</v>
      </c>
      <c r="E124" s="574">
        <v>-7.3</v>
      </c>
      <c r="F124" s="574">
        <v>-7.3</v>
      </c>
      <c r="G124" s="574">
        <v>-7.3</v>
      </c>
      <c r="H124" s="574">
        <v>-7.3</v>
      </c>
      <c r="I124" s="574">
        <v>-7.3</v>
      </c>
      <c r="J124" s="574">
        <v>-7.3</v>
      </c>
      <c r="K124" s="574">
        <v>-7.3</v>
      </c>
      <c r="L124" s="574">
        <v>-7.3</v>
      </c>
    </row>
    <row r="125" spans="2:12" ht="14.25">
      <c r="B125" s="63" t="s">
        <v>653</v>
      </c>
      <c r="E125" s="574" t="s">
        <v>21</v>
      </c>
      <c r="F125" s="574" t="s">
        <v>21</v>
      </c>
      <c r="G125" s="574" t="s">
        <v>21</v>
      </c>
      <c r="H125" s="574" t="s">
        <v>21</v>
      </c>
      <c r="I125" s="574" t="s">
        <v>21</v>
      </c>
      <c r="J125" s="574" t="s">
        <v>21</v>
      </c>
      <c r="K125" s="574" t="s">
        <v>21</v>
      </c>
      <c r="L125" s="574" t="s">
        <v>21</v>
      </c>
    </row>
    <row r="126" spans="2:12" ht="14.25">
      <c r="B126" s="63" t="s">
        <v>117</v>
      </c>
      <c r="E126" s="574">
        <v>-8.8</v>
      </c>
      <c r="F126" s="574">
        <v>-8.1</v>
      </c>
      <c r="G126" s="574">
        <v>-6.9</v>
      </c>
      <c r="H126" s="574">
        <v>-5.8</v>
      </c>
      <c r="I126" s="574">
        <v>-4.6</v>
      </c>
      <c r="J126" s="574">
        <v>-3.4</v>
      </c>
      <c r="K126" s="574">
        <v>-2.1</v>
      </c>
      <c r="L126" s="574">
        <v>-0.8</v>
      </c>
    </row>
    <row r="127" spans="5:12" ht="14.25">
      <c r="E127" s="77"/>
      <c r="F127" s="77"/>
      <c r="G127" s="77"/>
      <c r="H127" s="77"/>
      <c r="I127" s="77"/>
      <c r="J127" s="77"/>
      <c r="K127" s="77"/>
      <c r="L127" s="77"/>
    </row>
    <row r="128" spans="2:12" ht="14.25">
      <c r="B128" s="63" t="s">
        <v>654</v>
      </c>
      <c r="E128" s="574" t="s">
        <v>21</v>
      </c>
      <c r="F128" s="574" t="s">
        <v>21</v>
      </c>
      <c r="G128" s="574" t="s">
        <v>21</v>
      </c>
      <c r="H128" s="574" t="s">
        <v>21</v>
      </c>
      <c r="I128" s="574" t="s">
        <v>21</v>
      </c>
      <c r="J128" s="574" t="s">
        <v>21</v>
      </c>
      <c r="K128" s="574" t="s">
        <v>21</v>
      </c>
      <c r="L128" s="574" t="s">
        <v>21</v>
      </c>
    </row>
    <row r="129" spans="2:12" ht="14.25">
      <c r="B129" s="63" t="s">
        <v>96</v>
      </c>
      <c r="E129" s="574">
        <v>-48.9</v>
      </c>
      <c r="F129" s="574">
        <v>-122.7</v>
      </c>
      <c r="G129" s="574">
        <v>-168.7</v>
      </c>
      <c r="H129" s="574">
        <v>-212.8</v>
      </c>
      <c r="I129" s="574">
        <v>-264.8</v>
      </c>
      <c r="J129" s="574">
        <v>-322.1</v>
      </c>
      <c r="K129" s="574">
        <v>-366.6</v>
      </c>
      <c r="L129" s="574">
        <v>-414.4</v>
      </c>
    </row>
    <row r="130" spans="2:12" ht="14.25">
      <c r="B130" s="63" t="s">
        <v>645</v>
      </c>
      <c r="E130" s="574">
        <v>499.3</v>
      </c>
      <c r="F130" s="574">
        <v>499.3</v>
      </c>
      <c r="G130" s="574">
        <v>499.3</v>
      </c>
      <c r="H130" s="574">
        <v>499.3</v>
      </c>
      <c r="I130" s="574">
        <v>499.3</v>
      </c>
      <c r="J130" s="574">
        <v>499.3</v>
      </c>
      <c r="K130" s="574">
        <v>499.3</v>
      </c>
      <c r="L130" s="574">
        <v>499.3</v>
      </c>
    </row>
    <row r="131" spans="5:7" ht="14.25">
      <c r="E131" s="575"/>
      <c r="F131" s="575"/>
      <c r="G131" s="575"/>
    </row>
    <row r="132" spans="2:5" ht="14.25">
      <c r="B132" s="63" t="s">
        <v>655</v>
      </c>
      <c r="C132" s="124"/>
      <c r="D132" s="522"/>
      <c r="E132" s="116">
        <v>2</v>
      </c>
    </row>
    <row r="133" spans="2:5" ht="14.25">
      <c r="B133" s="63" t="s">
        <v>347</v>
      </c>
      <c r="E133" s="82"/>
    </row>
    <row r="134" spans="2:5" ht="14.25">
      <c r="B134" s="63" t="s">
        <v>349</v>
      </c>
      <c r="E134" s="82"/>
    </row>
    <row r="135" spans="2:7" ht="14.25">
      <c r="B135" s="63" t="s">
        <v>368</v>
      </c>
      <c r="F135" s="568">
        <v>0</v>
      </c>
      <c r="G135" s="568">
        <v>0</v>
      </c>
    </row>
    <row r="136" spans="2:7" ht="14.25">
      <c r="B136" s="63" t="s">
        <v>499</v>
      </c>
      <c r="F136" s="568">
        <v>0</v>
      </c>
      <c r="G136" s="568">
        <v>0</v>
      </c>
    </row>
    <row r="137" spans="6:7" ht="14.25">
      <c r="F137" s="575"/>
      <c r="G137" s="575"/>
    </row>
    <row r="138" spans="2:7" ht="14.25">
      <c r="B138" s="63" t="s">
        <v>745</v>
      </c>
      <c r="F138" s="575"/>
      <c r="G138" s="575"/>
    </row>
    <row r="139" spans="2:7" ht="14.25">
      <c r="B139" s="63" t="s">
        <v>746</v>
      </c>
      <c r="F139" s="575"/>
      <c r="G139" s="568">
        <v>0</v>
      </c>
    </row>
    <row r="140" spans="2:7" ht="14.25">
      <c r="B140" s="63" t="s">
        <v>747</v>
      </c>
      <c r="G140" s="576">
        <v>2</v>
      </c>
    </row>
    <row r="143" ht="14.25">
      <c r="B143" s="216" t="s">
        <v>166</v>
      </c>
    </row>
    <row r="145" ht="14.25">
      <c r="B145" s="63" t="s">
        <v>196</v>
      </c>
    </row>
    <row r="146" spans="2:6" ht="14.25">
      <c r="B146" s="63" t="s">
        <v>197</v>
      </c>
      <c r="E146" s="577">
        <v>16.37505610021622</v>
      </c>
      <c r="F146" s="577">
        <v>22.136355399806902</v>
      </c>
    </row>
    <row r="147" spans="2:6" ht="14.25">
      <c r="B147" s="63" t="s">
        <v>148</v>
      </c>
      <c r="E147" s="577">
        <v>29.994756994222943</v>
      </c>
      <c r="F147" s="577">
        <v>30.296469592854457</v>
      </c>
    </row>
    <row r="148" spans="2:6" ht="14.25">
      <c r="B148" s="63" t="s">
        <v>198</v>
      </c>
      <c r="E148" s="577">
        <v>13.619700894006723</v>
      </c>
      <c r="F148" s="577">
        <v>8.160114193047555</v>
      </c>
    </row>
    <row r="149" spans="5:6" ht="14.25">
      <c r="E149" s="70"/>
      <c r="F149" s="70"/>
    </row>
    <row r="150" spans="2:6" ht="14.25">
      <c r="B150" s="63" t="s">
        <v>199</v>
      </c>
      <c r="E150" s="70"/>
      <c r="F150" s="70"/>
    </row>
    <row r="151" spans="2:6" ht="14.25">
      <c r="B151" s="63" t="s">
        <v>197</v>
      </c>
      <c r="E151" s="577">
        <v>13.2025532421874</v>
      </c>
      <c r="F151" s="577">
        <v>11.769353105727118</v>
      </c>
    </row>
    <row r="152" spans="2:6" ht="14.25">
      <c r="B152" s="63" t="s">
        <v>148</v>
      </c>
      <c r="E152" s="577">
        <v>19.1387998</v>
      </c>
      <c r="F152" s="577">
        <v>24.53683091422384</v>
      </c>
    </row>
    <row r="153" spans="2:6" ht="14.25">
      <c r="B153" s="63" t="s">
        <v>303</v>
      </c>
      <c r="E153" s="578">
        <v>0</v>
      </c>
      <c r="F153" s="578">
        <v>0</v>
      </c>
    </row>
    <row r="154" spans="2:6" ht="14.25">
      <c r="B154" s="63" t="s">
        <v>304</v>
      </c>
      <c r="E154" s="577">
        <v>19.1387998</v>
      </c>
      <c r="F154" s="577">
        <v>24.53683091422384</v>
      </c>
    </row>
    <row r="155" spans="2:6" ht="14.25">
      <c r="B155" s="63" t="s">
        <v>198</v>
      </c>
      <c r="E155" s="577">
        <v>5.9362465578126</v>
      </c>
      <c r="F155" s="577">
        <v>12.767477808496723</v>
      </c>
    </row>
    <row r="156" spans="5:6" ht="14.25">
      <c r="E156" s="70"/>
      <c r="F156" s="70"/>
    </row>
    <row r="157" spans="2:6" ht="14.25">
      <c r="B157" s="63" t="s">
        <v>200</v>
      </c>
      <c r="E157" s="70"/>
      <c r="F157" s="70"/>
    </row>
    <row r="158" spans="2:6" ht="14.25">
      <c r="B158" s="63" t="s">
        <v>201</v>
      </c>
      <c r="E158" s="577">
        <v>22.97633272130992</v>
      </c>
      <c r="F158" s="577">
        <v>28.021031952670462</v>
      </c>
    </row>
    <row r="159" spans="2:6" ht="14.25">
      <c r="B159" s="63" t="s">
        <v>202</v>
      </c>
      <c r="E159" s="577">
        <v>42.532280173129244</v>
      </c>
      <c r="F159" s="577">
        <v>48.94862395421474</v>
      </c>
    </row>
    <row r="160" spans="2:6" ht="14.25">
      <c r="B160" s="63" t="s">
        <v>205</v>
      </c>
      <c r="E160" s="577">
        <v>19.555947451819325</v>
      </c>
      <c r="F160" s="577">
        <v>20.927592001544276</v>
      </c>
    </row>
    <row r="161" spans="5:6" ht="14.25">
      <c r="E161" s="70"/>
      <c r="F161" s="70"/>
    </row>
    <row r="162" spans="2:7" ht="14.25">
      <c r="B162" s="63" t="s">
        <v>541</v>
      </c>
      <c r="D162" s="89"/>
      <c r="E162" s="579">
        <v>3.6326122364919726</v>
      </c>
      <c r="F162" s="579">
        <v>0.029348520263792643</v>
      </c>
      <c r="G162" s="63" t="s">
        <v>167</v>
      </c>
    </row>
    <row r="163" spans="2:7" ht="14.25">
      <c r="B163" s="63" t="s">
        <v>542</v>
      </c>
      <c r="D163" s="89"/>
      <c r="E163" s="579">
        <v>12.256987699448933</v>
      </c>
      <c r="F163" s="579">
        <v>19.019726748102446</v>
      </c>
      <c r="G163" s="63" t="s">
        <v>167</v>
      </c>
    </row>
    <row r="164" spans="2:7" ht="14.25">
      <c r="B164" s="63" t="s">
        <v>543</v>
      </c>
      <c r="D164" s="89"/>
      <c r="E164" s="579">
        <v>1.9193043206839373</v>
      </c>
      <c r="F164" s="579">
        <v>0.4558688126488313</v>
      </c>
      <c r="G164" s="63" t="s">
        <v>167</v>
      </c>
    </row>
    <row r="165" spans="2:7" ht="14.25">
      <c r="B165" s="63" t="s">
        <v>336</v>
      </c>
      <c r="D165" s="89"/>
      <c r="E165" s="579">
        <v>0</v>
      </c>
      <c r="F165" s="579">
        <v>0</v>
      </c>
      <c r="G165" s="63" t="s">
        <v>167</v>
      </c>
    </row>
    <row r="166" spans="5:6" ht="14.25">
      <c r="E166" s="70"/>
      <c r="F166" s="70"/>
    </row>
    <row r="167" ht="14.25">
      <c r="B167" s="63" t="s">
        <v>210</v>
      </c>
    </row>
    <row r="168" spans="2:7" ht="14.25">
      <c r="B168" s="63" t="s">
        <v>211</v>
      </c>
      <c r="G168" s="577">
        <v>38.54643100329315</v>
      </c>
    </row>
    <row r="169" spans="2:7" ht="14.25">
      <c r="B169" s="63" t="s">
        <v>212</v>
      </c>
      <c r="G169" s="577">
        <v>-0.904392340307524</v>
      </c>
    </row>
    <row r="170" spans="2:7" ht="14.25">
      <c r="B170" s="63" t="s">
        <v>215</v>
      </c>
      <c r="G170" s="577">
        <v>37.64203866298563</v>
      </c>
    </row>
    <row r="171" spans="2:7" ht="14.25">
      <c r="B171" s="63" t="s">
        <v>217</v>
      </c>
      <c r="G171" s="577">
        <v>27.72713520873941</v>
      </c>
    </row>
    <row r="172" spans="2:7" ht="14.25">
      <c r="B172" s="63" t="s">
        <v>218</v>
      </c>
      <c r="G172" s="577">
        <v>0</v>
      </c>
    </row>
    <row r="173" spans="2:7" ht="14.25">
      <c r="B173" s="63" t="s">
        <v>224</v>
      </c>
      <c r="G173" s="577">
        <v>27.72713520873941</v>
      </c>
    </row>
    <row r="174" spans="2:7" ht="14.25">
      <c r="B174" s="63" t="s">
        <v>213</v>
      </c>
      <c r="G174" s="577">
        <v>41.61114442541708</v>
      </c>
    </row>
    <row r="175" spans="2:7" ht="14.25">
      <c r="B175" s="63" t="s">
        <v>214</v>
      </c>
      <c r="G175" s="577">
        <v>0</v>
      </c>
    </row>
    <row r="176" spans="2:7" ht="14.25">
      <c r="B176" s="63" t="s">
        <v>216</v>
      </c>
      <c r="G176" s="577">
        <v>41.61114442541708</v>
      </c>
    </row>
    <row r="179" spans="1:2" s="77" customFormat="1" ht="14.25">
      <c r="A179" s="216"/>
      <c r="B179" s="216" t="s">
        <v>168</v>
      </c>
    </row>
    <row r="180" spans="1:2" ht="14.25">
      <c r="A180" s="216"/>
      <c r="B180" s="259" t="s">
        <v>408</v>
      </c>
    </row>
    <row r="181" spans="2:7" ht="14.25">
      <c r="B181" s="63" t="s">
        <v>434</v>
      </c>
      <c r="D181" s="63" t="s">
        <v>236</v>
      </c>
      <c r="G181" s="70">
        <v>0.48624257903709256</v>
      </c>
    </row>
    <row r="182" spans="2:7" ht="14.25">
      <c r="B182" s="63" t="s">
        <v>235</v>
      </c>
      <c r="D182" s="63" t="s">
        <v>237</v>
      </c>
      <c r="G182" s="70">
        <v>2.3735666855823685</v>
      </c>
    </row>
    <row r="184" spans="2:7" ht="14.25">
      <c r="B184" s="77" t="s">
        <v>598</v>
      </c>
      <c r="D184" s="63" t="s">
        <v>238</v>
      </c>
      <c r="G184" s="569">
        <v>-10.741711260474716</v>
      </c>
    </row>
    <row r="185" spans="2:7" ht="14.25">
      <c r="B185" s="77" t="s">
        <v>669</v>
      </c>
      <c r="D185" s="63" t="s">
        <v>240</v>
      </c>
      <c r="G185" s="569">
        <v>-7.877664818041094</v>
      </c>
    </row>
    <row r="186" spans="2:7" ht="14.25">
      <c r="B186" s="63" t="s">
        <v>307</v>
      </c>
      <c r="D186" s="63" t="s">
        <v>239</v>
      </c>
      <c r="G186" s="557">
        <v>-88.02043832937949</v>
      </c>
    </row>
    <row r="187" ht="14.25">
      <c r="A187" s="216"/>
    </row>
    <row r="188" spans="2:7" ht="14.25">
      <c r="B188" s="77" t="s">
        <v>729</v>
      </c>
      <c r="D188" s="63" t="s">
        <v>730</v>
      </c>
      <c r="G188" s="70">
        <v>0</v>
      </c>
    </row>
    <row r="189" spans="2:7" ht="14.25">
      <c r="B189" s="77" t="s">
        <v>731</v>
      </c>
      <c r="D189" s="132" t="s">
        <v>452</v>
      </c>
      <c r="G189" s="70">
        <v>3.6969852693735343</v>
      </c>
    </row>
    <row r="190" spans="2:7" ht="14.25">
      <c r="B190" s="77" t="s">
        <v>109</v>
      </c>
      <c r="D190" s="132" t="s">
        <v>452</v>
      </c>
      <c r="G190" s="401">
        <v>12.323284231245097</v>
      </c>
    </row>
    <row r="191" spans="2:7" ht="14.25">
      <c r="B191" s="77" t="s">
        <v>409</v>
      </c>
      <c r="G191" s="63">
        <v>12.261490351073626</v>
      </c>
    </row>
    <row r="193" ht="14.25">
      <c r="B193" s="259" t="s">
        <v>412</v>
      </c>
    </row>
    <row r="194" spans="2:6" ht="14.25">
      <c r="B194" s="98" t="s">
        <v>696</v>
      </c>
      <c r="E194" s="563">
        <v>1.4209217817814224</v>
      </c>
      <c r="F194" s="563">
        <v>1.3777062114634042</v>
      </c>
    </row>
    <row r="195" ht="14.25">
      <c r="B195" s="69"/>
    </row>
    <row r="196" spans="2:4" ht="14.25">
      <c r="B196" s="63" t="s">
        <v>693</v>
      </c>
      <c r="D196" s="563">
        <v>1216.1632941803011</v>
      </c>
    </row>
    <row r="197" spans="2:4" ht="14.25">
      <c r="B197" s="63" t="s">
        <v>694</v>
      </c>
      <c r="D197" s="563">
        <v>10.49915200225518</v>
      </c>
    </row>
    <row r="199" spans="2:11" ht="14.25">
      <c r="B199" s="63" t="s">
        <v>241</v>
      </c>
      <c r="D199" s="63" t="s">
        <v>242</v>
      </c>
      <c r="E199" s="563">
        <v>1251.1685425085136</v>
      </c>
      <c r="G199" s="172"/>
      <c r="H199" s="70"/>
      <c r="I199" s="70"/>
      <c r="J199" s="70"/>
      <c r="K199" s="70"/>
    </row>
    <row r="200" spans="2:11" ht="14.25">
      <c r="B200" s="63" t="s">
        <v>243</v>
      </c>
      <c r="D200" s="63" t="s">
        <v>248</v>
      </c>
      <c r="E200" s="563">
        <v>1263.8279973541516</v>
      </c>
      <c r="G200" s="172"/>
      <c r="H200" s="70"/>
      <c r="I200" s="70"/>
      <c r="J200" s="70"/>
      <c r="K200" s="70"/>
    </row>
    <row r="201" spans="2:11" ht="14.25">
      <c r="B201" s="63" t="s">
        <v>249</v>
      </c>
      <c r="D201" s="63" t="s">
        <v>250</v>
      </c>
      <c r="E201" s="563">
        <v>1216.1632941803011</v>
      </c>
      <c r="G201" s="172"/>
      <c r="H201" s="70"/>
      <c r="I201" s="70"/>
      <c r="J201" s="70"/>
      <c r="K201" s="70"/>
    </row>
    <row r="202" spans="2:11" ht="14.25">
      <c r="B202" s="63" t="s">
        <v>251</v>
      </c>
      <c r="D202" s="63" t="s">
        <v>252</v>
      </c>
      <c r="E202" s="563">
        <v>-125.7311676314221</v>
      </c>
      <c r="G202" s="172"/>
      <c r="H202" s="70"/>
      <c r="I202" s="70"/>
      <c r="J202" s="70"/>
      <c r="K202" s="70"/>
    </row>
    <row r="203" spans="2:11" ht="14.25">
      <c r="B203" s="63" t="s">
        <v>253</v>
      </c>
      <c r="D203" s="63" t="s">
        <v>254</v>
      </c>
      <c r="E203" s="563">
        <v>165.0055595586684</v>
      </c>
      <c r="G203" s="172"/>
      <c r="H203" s="70"/>
      <c r="I203" s="70"/>
      <c r="J203" s="70"/>
      <c r="K203" s="70"/>
    </row>
    <row r="204" spans="2:11" ht="14.25">
      <c r="B204" s="63" t="s">
        <v>255</v>
      </c>
      <c r="D204" s="63" t="s">
        <v>256</v>
      </c>
      <c r="E204" s="563">
        <v>-4.269143599034034</v>
      </c>
      <c r="G204" s="172"/>
      <c r="H204" s="70"/>
      <c r="I204" s="70"/>
      <c r="J204" s="70"/>
      <c r="K204" s="70"/>
    </row>
    <row r="205" spans="2:11" ht="14.25">
      <c r="B205" s="63" t="s">
        <v>257</v>
      </c>
      <c r="D205" s="63" t="s">
        <v>260</v>
      </c>
      <c r="E205" s="563">
        <v>1381.1688537389698</v>
      </c>
      <c r="G205" s="172"/>
      <c r="H205" s="70"/>
      <c r="I205" s="70"/>
      <c r="J205" s="70"/>
      <c r="K205" s="70"/>
    </row>
    <row r="206" spans="2:11" ht="14.25">
      <c r="B206" s="63" t="s">
        <v>261</v>
      </c>
      <c r="D206" s="63" t="s">
        <v>262</v>
      </c>
      <c r="E206" s="563">
        <v>-174.05347650023688</v>
      </c>
      <c r="G206" s="172"/>
      <c r="H206" s="70"/>
      <c r="I206" s="70"/>
      <c r="J206" s="70"/>
      <c r="K206" s="70"/>
    </row>
    <row r="207" spans="2:11" ht="14.25">
      <c r="B207" s="63" t="s">
        <v>263</v>
      </c>
      <c r="D207" s="63" t="s">
        <v>264</v>
      </c>
      <c r="E207" s="563">
        <v>44.34473206808851</v>
      </c>
      <c r="G207" s="172"/>
      <c r="H207" s="70"/>
      <c r="I207" s="70"/>
      <c r="J207" s="70"/>
      <c r="K207" s="70"/>
    </row>
    <row r="208" spans="2:11" ht="14.25">
      <c r="B208" s="63" t="s">
        <v>265</v>
      </c>
      <c r="D208" s="63" t="s">
        <v>266</v>
      </c>
      <c r="E208" s="563">
        <v>13.045774553159735</v>
      </c>
      <c r="G208" s="172"/>
      <c r="H208" s="70"/>
      <c r="I208" s="70"/>
      <c r="J208" s="70"/>
      <c r="K208" s="70"/>
    </row>
    <row r="209" spans="2:11" ht="14.25">
      <c r="B209" s="63" t="s">
        <v>267</v>
      </c>
      <c r="D209" s="63" t="s">
        <v>268</v>
      </c>
      <c r="G209" s="563">
        <v>2.199459517669225</v>
      </c>
      <c r="H209" s="563">
        <v>-11.25637133386385</v>
      </c>
      <c r="I209" s="563">
        <v>-3.9888627369651113</v>
      </c>
      <c r="J209" s="563">
        <v>-13.56410914840666</v>
      </c>
      <c r="K209" s="563">
        <v>-16.504396370194577</v>
      </c>
    </row>
    <row r="210" spans="2:11" ht="14.25">
      <c r="B210" s="63" t="s">
        <v>269</v>
      </c>
      <c r="D210" s="63" t="s">
        <v>270</v>
      </c>
      <c r="E210" s="563">
        <v>-0.15238782885611998</v>
      </c>
      <c r="G210" s="172"/>
      <c r="H210" s="70"/>
      <c r="I210" s="70"/>
      <c r="J210" s="70"/>
      <c r="K210" s="70"/>
    </row>
    <row r="211" spans="2:11" ht="14.25">
      <c r="B211" s="63" t="s">
        <v>271</v>
      </c>
      <c r="D211" s="63" t="s">
        <v>272</v>
      </c>
      <c r="E211" s="563">
        <v>13.804157477732861</v>
      </c>
      <c r="G211" s="172"/>
      <c r="H211" s="70"/>
      <c r="I211" s="70"/>
      <c r="J211" s="70"/>
      <c r="K211" s="70"/>
    </row>
    <row r="212" spans="2:11" ht="14.25">
      <c r="B212" s="63" t="s">
        <v>273</v>
      </c>
      <c r="D212" s="63" t="s">
        <v>274</v>
      </c>
      <c r="E212" s="563">
        <v>-1.1447026320951499</v>
      </c>
      <c r="G212" s="172"/>
      <c r="H212" s="70"/>
      <c r="I212" s="70"/>
      <c r="J212" s="70"/>
      <c r="K212" s="70"/>
    </row>
    <row r="213" spans="2:11" ht="14.25">
      <c r="B213" s="63" t="s">
        <v>275</v>
      </c>
      <c r="D213" s="63" t="s">
        <v>282</v>
      </c>
      <c r="E213" s="563">
        <v>-0.4221006163219295</v>
      </c>
      <c r="G213" s="172"/>
      <c r="H213" s="70"/>
      <c r="I213" s="70"/>
      <c r="J213" s="70"/>
      <c r="K213" s="70"/>
    </row>
    <row r="214" spans="2:11" ht="14.25">
      <c r="B214" s="63" t="s">
        <v>576</v>
      </c>
      <c r="D214" s="63" t="s">
        <v>283</v>
      </c>
      <c r="G214" s="563">
        <v>2.5118564089054187</v>
      </c>
      <c r="H214" s="70"/>
      <c r="I214" s="70"/>
      <c r="J214" s="70"/>
      <c r="K214" s="70"/>
    </row>
    <row r="216" spans="2:4" ht="14.25">
      <c r="B216" s="259" t="s">
        <v>413</v>
      </c>
      <c r="C216" s="77"/>
      <c r="D216" s="77"/>
    </row>
    <row r="217" spans="2:11" ht="14.25">
      <c r="B217" s="63" t="s">
        <v>241</v>
      </c>
      <c r="D217" s="77" t="s">
        <v>284</v>
      </c>
      <c r="E217" s="563">
        <v>1234.2582328614355</v>
      </c>
      <c r="G217" s="172"/>
      <c r="H217" s="70"/>
      <c r="I217" s="70"/>
      <c r="J217" s="70"/>
      <c r="K217" s="70"/>
    </row>
    <row r="218" spans="2:11" ht="14.25">
      <c r="B218" s="63" t="s">
        <v>243</v>
      </c>
      <c r="D218" s="77" t="s">
        <v>285</v>
      </c>
      <c r="E218" s="563">
        <v>1246.746587416321</v>
      </c>
      <c r="G218" s="172"/>
      <c r="H218" s="70"/>
      <c r="I218" s="70"/>
      <c r="J218" s="70"/>
      <c r="K218" s="70"/>
    </row>
    <row r="219" spans="2:11" ht="14.25">
      <c r="B219" s="63" t="s">
        <v>286</v>
      </c>
      <c r="D219" s="77" t="s">
        <v>287</v>
      </c>
      <c r="E219" s="563">
        <v>1259.4657121171645</v>
      </c>
      <c r="G219" s="172"/>
      <c r="H219" s="70"/>
      <c r="I219" s="70"/>
      <c r="J219" s="70"/>
      <c r="K219" s="70"/>
    </row>
    <row r="220" spans="2:11" ht="14.25">
      <c r="B220" s="63" t="s">
        <v>249</v>
      </c>
      <c r="D220" s="77" t="s">
        <v>288</v>
      </c>
      <c r="E220" s="563">
        <v>1199.7261019178052</v>
      </c>
      <c r="G220" s="172"/>
      <c r="H220" s="70"/>
      <c r="I220" s="70"/>
      <c r="J220" s="70"/>
      <c r="K220" s="70"/>
    </row>
    <row r="221" spans="2:11" ht="14.25">
      <c r="B221" s="63" t="s">
        <v>251</v>
      </c>
      <c r="D221" s="77" t="s">
        <v>289</v>
      </c>
      <c r="E221" s="563">
        <v>-124.03183384488588</v>
      </c>
      <c r="G221" s="172"/>
      <c r="H221" s="70"/>
      <c r="I221" s="70"/>
      <c r="J221" s="70"/>
      <c r="K221" s="70"/>
    </row>
    <row r="222" spans="2:11" ht="14.25">
      <c r="B222" s="63" t="s">
        <v>253</v>
      </c>
      <c r="D222" s="77" t="s">
        <v>290</v>
      </c>
      <c r="E222" s="563">
        <v>162.77540829540845</v>
      </c>
      <c r="G222" s="172"/>
      <c r="H222" s="70"/>
      <c r="I222" s="70"/>
      <c r="J222" s="70"/>
      <c r="K222" s="70"/>
    </row>
    <row r="223" spans="2:11" ht="14.25">
      <c r="B223" s="63" t="s">
        <v>255</v>
      </c>
      <c r="D223" s="77" t="s">
        <v>291</v>
      </c>
      <c r="E223" s="563">
        <v>-4.2114435068923575</v>
      </c>
      <c r="G223" s="172"/>
      <c r="H223" s="70"/>
      <c r="I223" s="70"/>
      <c r="J223" s="70"/>
      <c r="K223" s="70"/>
    </row>
    <row r="224" spans="2:11" ht="14.25">
      <c r="B224" s="63" t="s">
        <v>265</v>
      </c>
      <c r="D224" s="77" t="s">
        <v>292</v>
      </c>
      <c r="E224" s="563">
        <v>12.869452914799492</v>
      </c>
      <c r="G224" s="172"/>
      <c r="H224" s="70"/>
      <c r="I224" s="70"/>
      <c r="J224" s="70"/>
      <c r="K224" s="70"/>
    </row>
    <row r="225" spans="2:11" ht="14.25">
      <c r="B225" s="121" t="s">
        <v>293</v>
      </c>
      <c r="D225" s="77" t="s">
        <v>294</v>
      </c>
      <c r="G225" s="563">
        <v>2.333423413450829</v>
      </c>
      <c r="H225" s="563">
        <v>-12.240519643656777</v>
      </c>
      <c r="I225" s="563">
        <v>-4.446050598411175</v>
      </c>
      <c r="J225" s="563">
        <v>-15.496743699213761</v>
      </c>
      <c r="K225" s="563">
        <v>-19.327366626315666</v>
      </c>
    </row>
    <row r="226" spans="2:11" ht="14.25">
      <c r="B226" s="63" t="s">
        <v>269</v>
      </c>
      <c r="D226" s="77" t="s">
        <v>295</v>
      </c>
      <c r="E226" s="563">
        <v>-0.15032821395624704</v>
      </c>
      <c r="G226" s="172"/>
      <c r="H226" s="70"/>
      <c r="I226" s="70"/>
      <c r="J226" s="70"/>
      <c r="K226" s="70"/>
    </row>
    <row r="227" spans="2:11" ht="14.25">
      <c r="B227" s="77" t="s">
        <v>271</v>
      </c>
      <c r="D227" s="77" t="s">
        <v>296</v>
      </c>
      <c r="E227" s="563">
        <v>13.617585829362072</v>
      </c>
      <c r="G227" s="172"/>
      <c r="H227" s="172"/>
      <c r="I227" s="172"/>
      <c r="J227" s="172"/>
      <c r="K227" s="172"/>
    </row>
    <row r="228" spans="2:11" ht="14.25">
      <c r="B228" s="77" t="s">
        <v>273</v>
      </c>
      <c r="D228" s="77" t="s">
        <v>296</v>
      </c>
      <c r="E228" s="563">
        <v>-1.1292312744763402</v>
      </c>
      <c r="G228" s="172"/>
      <c r="H228" s="70"/>
      <c r="I228" s="70"/>
      <c r="J228" s="70"/>
      <c r="K228" s="70"/>
    </row>
    <row r="229" spans="2:11" ht="14.25">
      <c r="B229" s="77" t="s">
        <v>275</v>
      </c>
      <c r="D229" s="77" t="s">
        <v>296</v>
      </c>
      <c r="E229" s="563">
        <v>-0.42623178593949695</v>
      </c>
      <c r="G229" s="172"/>
      <c r="H229" s="70"/>
      <c r="I229" s="70"/>
      <c r="J229" s="70"/>
      <c r="K229" s="70"/>
    </row>
    <row r="231" ht="14.25">
      <c r="B231" s="216" t="s">
        <v>169</v>
      </c>
    </row>
    <row r="232" spans="2:7" ht="14.25">
      <c r="B232" s="77" t="s">
        <v>107</v>
      </c>
      <c r="G232" s="70">
        <v>-3.1367084084065358</v>
      </c>
    </row>
    <row r="233" spans="2:7" ht="14.25">
      <c r="B233" s="63" t="s">
        <v>26</v>
      </c>
      <c r="G233" s="70">
        <v>0</v>
      </c>
    </row>
    <row r="234" spans="2:7" ht="14.25">
      <c r="B234" s="63" t="s">
        <v>140</v>
      </c>
      <c r="G234" s="70">
        <v>41.637285038862544</v>
      </c>
    </row>
    <row r="235" spans="2:7" ht="14.25">
      <c r="B235" s="69"/>
      <c r="G235" s="70"/>
    </row>
    <row r="236" spans="2:7" ht="14.25">
      <c r="B236" s="63" t="s">
        <v>245</v>
      </c>
      <c r="G236" s="70">
        <v>2.5118564089054187</v>
      </c>
    </row>
    <row r="237" spans="2:7" ht="14.25">
      <c r="B237" s="63" t="s">
        <v>246</v>
      </c>
      <c r="G237" s="70">
        <v>2.3847389735126407</v>
      </c>
    </row>
    <row r="238" ht="14.25">
      <c r="G238" s="70"/>
    </row>
    <row r="239" ht="14.25">
      <c r="G239" s="70"/>
    </row>
    <row r="240" spans="1:2" ht="14.25">
      <c r="A240" s="216"/>
      <c r="B240" s="216" t="s">
        <v>173</v>
      </c>
    </row>
    <row r="241" spans="2:13" ht="38.25">
      <c r="B241" s="34"/>
      <c r="C241" s="77"/>
      <c r="D241" s="77"/>
      <c r="E241" s="263" t="s">
        <v>382</v>
      </c>
      <c r="F241" s="35" t="s">
        <v>685</v>
      </c>
      <c r="G241" s="35" t="s">
        <v>686</v>
      </c>
      <c r="H241" s="35" t="s">
        <v>687</v>
      </c>
      <c r="I241" s="35" t="s">
        <v>689</v>
      </c>
      <c r="J241" s="35" t="s">
        <v>690</v>
      </c>
      <c r="K241" s="35" t="s">
        <v>691</v>
      </c>
      <c r="L241" s="36" t="s">
        <v>692</v>
      </c>
      <c r="M241" s="34" t="s">
        <v>698</v>
      </c>
    </row>
    <row r="242" spans="2:13" ht="14.25">
      <c r="B242" s="498" t="s">
        <v>172</v>
      </c>
      <c r="C242" s="77"/>
      <c r="D242" s="77"/>
      <c r="E242" s="51"/>
      <c r="F242" s="37"/>
      <c r="G242" s="37"/>
      <c r="H242" s="38"/>
      <c r="I242" s="39"/>
      <c r="J242" s="38"/>
      <c r="K242" s="38"/>
      <c r="L242" s="38"/>
      <c r="M242" s="40"/>
    </row>
    <row r="243" spans="2:13" ht="14.25">
      <c r="B243" s="41" t="s">
        <v>377</v>
      </c>
      <c r="C243" s="77"/>
      <c r="D243" s="77"/>
      <c r="E243" s="42"/>
      <c r="F243" s="42"/>
      <c r="G243" s="52">
        <v>2.2246072140120066</v>
      </c>
      <c r="H243" s="52">
        <v>4.026413525046183</v>
      </c>
      <c r="I243" s="52">
        <v>8.535426672826521</v>
      </c>
      <c r="J243" s="52">
        <v>2.955619192841478</v>
      </c>
      <c r="K243" s="52">
        <v>27.600467615092324</v>
      </c>
      <c r="L243" s="52">
        <v>19.74594682000904</v>
      </c>
      <c r="M243" s="52">
        <v>62.863873825815546</v>
      </c>
    </row>
    <row r="244" spans="2:13" ht="14.25">
      <c r="B244" s="43" t="s">
        <v>170</v>
      </c>
      <c r="C244" s="77"/>
      <c r="D244" s="77"/>
      <c r="E244" s="42"/>
      <c r="F244" s="42"/>
      <c r="G244" s="52">
        <v>35.417431448973616</v>
      </c>
      <c r="H244" s="52">
        <v>38.44473809951634</v>
      </c>
      <c r="I244" s="52">
        <v>30.11792402939048</v>
      </c>
      <c r="J244" s="52">
        <v>25.440672482353612</v>
      </c>
      <c r="K244" s="52">
        <v>29.98417535151838</v>
      </c>
      <c r="L244" s="52">
        <v>23.573577529448237</v>
      </c>
      <c r="M244" s="52">
        <v>147.56108749222705</v>
      </c>
    </row>
    <row r="245" spans="2:13" ht="14.25">
      <c r="B245" s="45" t="s">
        <v>699</v>
      </c>
      <c r="C245" s="77"/>
      <c r="D245" s="77"/>
      <c r="E245" s="53">
        <v>0</v>
      </c>
      <c r="F245" s="53">
        <v>0</v>
      </c>
      <c r="G245" s="53">
        <v>37.64203866298563</v>
      </c>
      <c r="H245" s="53">
        <v>42.47115162456252</v>
      </c>
      <c r="I245" s="53">
        <v>38.653350702217</v>
      </c>
      <c r="J245" s="53">
        <v>28.396291675195087</v>
      </c>
      <c r="K245" s="53">
        <v>57.58464296661071</v>
      </c>
      <c r="L245" s="53">
        <v>43.319524349457275</v>
      </c>
      <c r="M245" s="53">
        <v>210.42496131804262</v>
      </c>
    </row>
    <row r="246" spans="2:13" ht="14.25">
      <c r="B246" s="46"/>
      <c r="C246" s="77"/>
      <c r="D246" s="77"/>
      <c r="E246" s="47"/>
      <c r="F246" s="47"/>
      <c r="G246" s="52"/>
      <c r="H246" s="52"/>
      <c r="I246" s="52"/>
      <c r="J246" s="52"/>
      <c r="K246" s="52"/>
      <c r="L246" s="52"/>
      <c r="M246" s="52"/>
    </row>
    <row r="247" spans="2:13" ht="14.25">
      <c r="B247" s="50" t="s">
        <v>174</v>
      </c>
      <c r="C247" s="77"/>
      <c r="D247" s="77"/>
      <c r="E247" s="51"/>
      <c r="F247" s="48"/>
      <c r="G247" s="52"/>
      <c r="H247" s="52"/>
      <c r="I247" s="52"/>
      <c r="J247" s="52"/>
      <c r="K247" s="52"/>
      <c r="L247" s="52"/>
      <c r="M247" s="52"/>
    </row>
    <row r="248" spans="2:13" ht="14.25">
      <c r="B248" s="496" t="s">
        <v>171</v>
      </c>
      <c r="C248" s="77"/>
      <c r="D248" s="77"/>
      <c r="E248" s="52"/>
      <c r="F248" s="52"/>
      <c r="G248" s="52">
        <v>64.28533794003044</v>
      </c>
      <c r="H248" s="52">
        <v>67.392</v>
      </c>
      <c r="I248" s="52">
        <v>68.77703293266825</v>
      </c>
      <c r="J248" s="52">
        <v>69.45374083139343</v>
      </c>
      <c r="K248" s="52">
        <v>69.23387275976769</v>
      </c>
      <c r="L248" s="52">
        <v>69.51921940542739</v>
      </c>
      <c r="M248" s="52">
        <v>344.37586592925675</v>
      </c>
    </row>
    <row r="249" spans="2:13" ht="14.25">
      <c r="B249" s="497" t="s">
        <v>176</v>
      </c>
      <c r="C249" s="77"/>
      <c r="D249" s="77"/>
      <c r="E249" s="52"/>
      <c r="F249" s="52"/>
      <c r="G249" s="52">
        <v>4.85755864116313</v>
      </c>
      <c r="H249" s="52">
        <v>6.13864690360575</v>
      </c>
      <c r="I249" s="52">
        <v>26.379262551534985</v>
      </c>
      <c r="J249" s="52">
        <v>1.3223598837760702</v>
      </c>
      <c r="K249" s="52">
        <v>0.8372414515197045</v>
      </c>
      <c r="L249" s="52">
        <v>0.824770851567878</v>
      </c>
      <c r="M249" s="52">
        <v>35.50228164200439</v>
      </c>
    </row>
    <row r="250" spans="2:13" ht="14.25">
      <c r="B250" s="497" t="s">
        <v>177</v>
      </c>
      <c r="C250" s="77"/>
      <c r="D250" s="77"/>
      <c r="E250" s="52"/>
      <c r="F250" s="52"/>
      <c r="G250" s="52">
        <v>0</v>
      </c>
      <c r="H250" s="52">
        <v>0.6539999999999999</v>
      </c>
      <c r="I250" s="52">
        <v>0.6539999999999999</v>
      </c>
      <c r="J250" s="52">
        <v>0.6539999999999999</v>
      </c>
      <c r="K250" s="52">
        <v>1.6752083333333334</v>
      </c>
      <c r="L250" s="52">
        <v>1.6752083333333334</v>
      </c>
      <c r="M250" s="52">
        <v>5.312416666666667</v>
      </c>
    </row>
    <row r="251" spans="2:13" ht="14.25">
      <c r="B251" s="49" t="s">
        <v>530</v>
      </c>
      <c r="C251" s="77"/>
      <c r="D251" s="77"/>
      <c r="E251" s="54">
        <v>0</v>
      </c>
      <c r="F251" s="54">
        <v>0</v>
      </c>
      <c r="G251" s="53">
        <v>69.14289658119357</v>
      </c>
      <c r="H251" s="53">
        <v>74.18464690360574</v>
      </c>
      <c r="I251" s="53">
        <v>95.81029548420324</v>
      </c>
      <c r="J251" s="53">
        <v>71.4301007151695</v>
      </c>
      <c r="K251" s="53">
        <v>71.74632254462072</v>
      </c>
      <c r="L251" s="53">
        <v>72.0191985903286</v>
      </c>
      <c r="M251" s="53">
        <v>385.1905642379278</v>
      </c>
    </row>
  </sheetData>
  <printOptions/>
  <pageMargins left="0.75" right="0.75" top="1" bottom="1" header="0.5" footer="0.5"/>
  <pageSetup fitToHeight="0" fitToWidth="1"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sheetPr codeName="Sheet3">
    <pageSetUpPr fitToPage="1"/>
  </sheetPr>
  <dimension ref="A1:M262"/>
  <sheetViews>
    <sheetView zoomScale="70" zoomScaleNormal="70" workbookViewId="0" topLeftCell="A1">
      <pane xSplit="2" ySplit="1" topLeftCell="D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9.00390625" style="121" customWidth="1"/>
    <col min="2" max="2" width="55.00390625" style="77" customWidth="1"/>
    <col min="3" max="3" width="7.375" style="77" hidden="1" customWidth="1"/>
    <col min="4" max="7" width="9.00390625" style="77" customWidth="1"/>
    <col min="8" max="10" width="9.25390625" style="77" bestFit="1" customWidth="1"/>
    <col min="11" max="12" width="10.25390625" style="77" bestFit="1" customWidth="1"/>
    <col min="13" max="16384" width="9.00390625" style="77" customWidth="1"/>
  </cols>
  <sheetData>
    <row r="1" spans="3:12" ht="12.75">
      <c r="C1" s="584"/>
      <c r="D1" s="584"/>
      <c r="E1" s="585" t="s">
        <v>76</v>
      </c>
      <c r="F1" s="585" t="s">
        <v>77</v>
      </c>
      <c r="G1" s="585" t="s">
        <v>91</v>
      </c>
      <c r="H1" s="585" t="s">
        <v>92</v>
      </c>
      <c r="I1" s="585" t="s">
        <v>93</v>
      </c>
      <c r="J1" s="585" t="s">
        <v>94</v>
      </c>
      <c r="K1" s="585" t="s">
        <v>95</v>
      </c>
      <c r="L1" s="585" t="s">
        <v>131</v>
      </c>
    </row>
    <row r="2" spans="1:12" ht="12.75">
      <c r="A2" s="122"/>
      <c r="D2" s="542"/>
      <c r="E2" s="359"/>
      <c r="F2" s="359"/>
      <c r="G2" s="542"/>
      <c r="H2" s="542"/>
      <c r="I2" s="542"/>
      <c r="J2" s="542"/>
      <c r="K2" s="542"/>
      <c r="L2" s="542"/>
    </row>
    <row r="3" spans="1:12" ht="12.75">
      <c r="A3" s="122"/>
      <c r="B3" s="586" t="s">
        <v>429</v>
      </c>
      <c r="C3" s="545"/>
      <c r="D3" s="546"/>
      <c r="E3" s="583"/>
      <c r="F3" s="583"/>
      <c r="G3" s="542"/>
      <c r="H3" s="542"/>
      <c r="I3" s="547"/>
      <c r="J3" s="547"/>
      <c r="K3" s="542"/>
      <c r="L3" s="542"/>
    </row>
    <row r="4" spans="1:12" ht="12.75">
      <c r="A4" s="122" t="s">
        <v>534</v>
      </c>
      <c r="B4" s="545" t="s">
        <v>601</v>
      </c>
      <c r="C4" s="549"/>
      <c r="D4" s="546"/>
      <c r="E4" s="546">
        <v>181.09095548897426</v>
      </c>
      <c r="F4" s="546">
        <v>178.74619993970455</v>
      </c>
      <c r="G4" s="542"/>
      <c r="H4" s="542"/>
      <c r="I4" s="542"/>
      <c r="J4" s="542"/>
      <c r="K4" s="542"/>
      <c r="L4" s="542"/>
    </row>
    <row r="5" spans="1:12" ht="12.75">
      <c r="A5" s="122"/>
      <c r="B5" s="545" t="s">
        <v>600</v>
      </c>
      <c r="C5" s="545"/>
      <c r="D5" s="546"/>
      <c r="E5" s="546">
        <v>177.3481074912275</v>
      </c>
      <c r="F5" s="546">
        <v>174.20523300432168</v>
      </c>
      <c r="G5" s="542"/>
      <c r="H5" s="542"/>
      <c r="I5" s="542"/>
      <c r="J5" s="542"/>
      <c r="K5" s="542"/>
      <c r="L5" s="542"/>
    </row>
    <row r="6" spans="1:12" ht="12.75">
      <c r="A6" s="122"/>
      <c r="B6" s="586" t="s">
        <v>604</v>
      </c>
      <c r="C6" s="545"/>
      <c r="D6" s="546"/>
      <c r="E6" s="546">
        <v>-2.7044949668538343</v>
      </c>
      <c r="F6" s="546">
        <v>-2.6565672592987295</v>
      </c>
      <c r="G6" s="542"/>
      <c r="H6" s="547"/>
      <c r="I6" s="547"/>
      <c r="J6" s="547"/>
      <c r="K6" s="542"/>
      <c r="L6" s="542"/>
    </row>
    <row r="7" spans="1:12" ht="12.75">
      <c r="A7" s="122"/>
      <c r="B7" s="586" t="s">
        <v>605</v>
      </c>
      <c r="C7" s="545"/>
      <c r="D7" s="546"/>
      <c r="E7" s="546">
        <v>0.5978460625787837</v>
      </c>
      <c r="F7" s="546">
        <v>0.5872513335808013</v>
      </c>
      <c r="G7" s="542"/>
      <c r="H7" s="547"/>
      <c r="I7" s="547"/>
      <c r="J7" s="542"/>
      <c r="K7" s="542"/>
      <c r="L7" s="542"/>
    </row>
    <row r="8" spans="1:12" ht="12.75">
      <c r="A8" s="122"/>
      <c r="B8" s="545" t="s">
        <v>478</v>
      </c>
      <c r="C8" s="545"/>
      <c r="D8" s="546"/>
      <c r="E8" s="546">
        <v>175.24145858695243</v>
      </c>
      <c r="F8" s="546">
        <v>172.13591707860377</v>
      </c>
      <c r="G8" s="542"/>
      <c r="H8" s="542"/>
      <c r="I8" s="542"/>
      <c r="J8" s="542"/>
      <c r="K8" s="542"/>
      <c r="L8" s="542"/>
    </row>
    <row r="9" spans="2:12" ht="12.75">
      <c r="B9" s="545" t="s">
        <v>66</v>
      </c>
      <c r="C9" s="549"/>
      <c r="D9" s="546"/>
      <c r="E9" s="546">
        <v>-70.80304112717211</v>
      </c>
      <c r="F9" s="546">
        <v>-68.35035296986226</v>
      </c>
      <c r="G9" s="542"/>
      <c r="H9" s="542"/>
      <c r="I9" s="542"/>
      <c r="J9" s="542"/>
      <c r="K9" s="542"/>
      <c r="L9" s="542"/>
    </row>
    <row r="10" spans="2:12" ht="12.75">
      <c r="B10" s="545" t="s">
        <v>479</v>
      </c>
      <c r="C10" s="549"/>
      <c r="D10" s="546"/>
      <c r="E10" s="546">
        <v>-68.09854616031828</v>
      </c>
      <c r="F10" s="546">
        <v>-65.69378571056353</v>
      </c>
      <c r="H10" s="542"/>
      <c r="I10" s="542"/>
      <c r="J10" s="542"/>
      <c r="K10" s="542"/>
      <c r="L10" s="542"/>
    </row>
    <row r="11" spans="2:12" ht="12.75">
      <c r="B11" s="545" t="s">
        <v>67</v>
      </c>
      <c r="C11" s="549"/>
      <c r="D11" s="546"/>
      <c r="E11" s="546">
        <v>-14.577874188060937</v>
      </c>
      <c r="F11" s="546">
        <v>-15.410585599157956</v>
      </c>
      <c r="G11" s="542"/>
      <c r="H11" s="542"/>
      <c r="I11" s="542"/>
      <c r="J11" s="542"/>
      <c r="K11" s="542"/>
      <c r="L11" s="542"/>
    </row>
    <row r="12" spans="2:12" ht="12.75">
      <c r="B12" s="545" t="s">
        <v>487</v>
      </c>
      <c r="C12" s="549"/>
      <c r="D12" s="546"/>
      <c r="E12" s="546">
        <v>-17.65952997853818</v>
      </c>
      <c r="F12" s="546">
        <v>-16.690554966652286</v>
      </c>
      <c r="G12" s="542"/>
      <c r="H12" s="542"/>
      <c r="I12" s="542"/>
      <c r="J12" s="542"/>
      <c r="K12" s="542"/>
      <c r="L12" s="542"/>
    </row>
    <row r="13" spans="1:12" ht="12.75">
      <c r="A13" s="587" t="s">
        <v>121</v>
      </c>
      <c r="B13" s="588"/>
      <c r="C13" s="549"/>
      <c r="D13" s="546"/>
      <c r="E13" s="546"/>
      <c r="F13" s="546"/>
      <c r="G13" s="542"/>
      <c r="H13" s="542"/>
      <c r="I13" s="542"/>
      <c r="J13" s="542"/>
      <c r="K13" s="542"/>
      <c r="L13" s="542"/>
    </row>
    <row r="14" spans="1:12" ht="12.75">
      <c r="A14" s="552"/>
      <c r="B14" s="545" t="s">
        <v>494</v>
      </c>
      <c r="C14" s="549"/>
      <c r="D14" s="546"/>
      <c r="E14" s="589">
        <v>19.006520857608727</v>
      </c>
      <c r="F14" s="546">
        <v>10.47970733847408</v>
      </c>
      <c r="G14" s="542"/>
      <c r="H14" s="542"/>
      <c r="I14" s="542"/>
      <c r="J14" s="542"/>
      <c r="K14" s="542"/>
      <c r="L14" s="542"/>
    </row>
    <row r="15" spans="1:12" ht="12.75">
      <c r="A15" s="552"/>
      <c r="B15" s="545" t="s">
        <v>493</v>
      </c>
      <c r="C15" s="549"/>
      <c r="D15" s="546"/>
      <c r="E15" s="546">
        <v>17.65952997853819</v>
      </c>
      <c r="F15" s="546">
        <v>16.690554966652293</v>
      </c>
      <c r="G15" s="542"/>
      <c r="H15" s="542"/>
      <c r="I15" s="542"/>
      <c r="J15" s="542"/>
      <c r="K15" s="542"/>
      <c r="L15" s="542"/>
    </row>
    <row r="16" spans="1:12" ht="12.75">
      <c r="A16" s="552"/>
      <c r="B16" s="545" t="s">
        <v>142</v>
      </c>
      <c r="C16" s="549"/>
      <c r="D16" s="546"/>
      <c r="E16" s="546">
        <v>35.31905995707638</v>
      </c>
      <c r="F16" s="546">
        <v>33.381109933304586</v>
      </c>
      <c r="G16" s="542"/>
      <c r="H16" s="542"/>
      <c r="I16" s="542"/>
      <c r="J16" s="542"/>
      <c r="K16" s="542"/>
      <c r="L16" s="542"/>
    </row>
    <row r="17" spans="2:12" ht="12.75">
      <c r="B17" s="121"/>
      <c r="C17" s="553"/>
      <c r="D17" s="542"/>
      <c r="E17" s="542"/>
      <c r="F17" s="542"/>
      <c r="G17" s="542"/>
      <c r="H17" s="542"/>
      <c r="I17" s="542"/>
      <c r="J17" s="542"/>
      <c r="K17" s="542"/>
      <c r="L17" s="542"/>
    </row>
    <row r="18" spans="2:12" ht="12.75">
      <c r="B18" s="554" t="s">
        <v>785</v>
      </c>
      <c r="C18" s="555"/>
      <c r="D18" s="556"/>
      <c r="E18" s="556">
        <v>176.7</v>
      </c>
      <c r="F18" s="556">
        <v>186</v>
      </c>
      <c r="G18" s="556">
        <v>218.9</v>
      </c>
      <c r="H18" s="542"/>
      <c r="I18" s="542"/>
      <c r="J18" s="542"/>
      <c r="K18" s="542"/>
      <c r="L18" s="542"/>
    </row>
    <row r="19" spans="2:7" ht="12.75">
      <c r="B19" s="554" t="s">
        <v>153</v>
      </c>
      <c r="C19" s="555"/>
      <c r="D19" s="556"/>
      <c r="E19" s="556">
        <v>-69.1</v>
      </c>
      <c r="F19" s="556">
        <v>-74.2</v>
      </c>
      <c r="G19" s="556">
        <v>-84.9</v>
      </c>
    </row>
    <row r="20" spans="2:7" ht="12.75">
      <c r="B20" s="554" t="s">
        <v>67</v>
      </c>
      <c r="C20" s="555"/>
      <c r="D20" s="556"/>
      <c r="E20" s="556">
        <v>-14.2</v>
      </c>
      <c r="F20" s="556">
        <v>-15.609</v>
      </c>
      <c r="G20" s="556">
        <v>-15.561</v>
      </c>
    </row>
    <row r="21" spans="2:12" ht="12.75">
      <c r="B21" s="554"/>
      <c r="C21" s="555"/>
      <c r="D21" s="556"/>
      <c r="E21" s="556"/>
      <c r="F21" s="556"/>
      <c r="G21" s="556"/>
      <c r="H21" s="542"/>
      <c r="I21" s="542"/>
      <c r="J21" s="542"/>
      <c r="K21" s="542"/>
      <c r="L21" s="542"/>
    </row>
    <row r="22" spans="2:12" ht="12.75">
      <c r="B22" s="554" t="s">
        <v>8</v>
      </c>
      <c r="C22" s="555"/>
      <c r="D22" s="556"/>
      <c r="E22" s="556">
        <v>-20.216</v>
      </c>
      <c r="F22" s="556">
        <v>-19.997536585365857</v>
      </c>
      <c r="G22" s="556">
        <v>-23.554771421772756</v>
      </c>
      <c r="H22" s="542"/>
      <c r="I22" s="542"/>
      <c r="J22" s="542"/>
      <c r="K22" s="542"/>
      <c r="L22" s="542"/>
    </row>
    <row r="23" spans="2:7" ht="12.75">
      <c r="B23" s="554" t="s">
        <v>57</v>
      </c>
      <c r="C23" s="555"/>
      <c r="D23" s="556"/>
      <c r="E23" s="556">
        <v>-28.2</v>
      </c>
      <c r="F23" s="556">
        <v>-27.6</v>
      </c>
      <c r="G23" s="556">
        <v>-27.9</v>
      </c>
    </row>
    <row r="24" spans="2:7" ht="12.75">
      <c r="B24" s="554" t="s">
        <v>727</v>
      </c>
      <c r="C24" s="555"/>
      <c r="D24" s="556"/>
      <c r="E24" s="556">
        <v>53.94414602758771</v>
      </c>
      <c r="F24" s="556">
        <v>34.21227609154304</v>
      </c>
      <c r="G24" s="556">
        <v>64.99368960193311</v>
      </c>
    </row>
    <row r="25" spans="2:12" ht="12.75">
      <c r="B25" s="77" t="s">
        <v>350</v>
      </c>
      <c r="C25" s="553"/>
      <c r="D25" s="542"/>
      <c r="E25" s="542"/>
      <c r="F25" s="542"/>
      <c r="G25" s="557">
        <v>194.3</v>
      </c>
      <c r="H25" s="542"/>
      <c r="I25" s="542"/>
      <c r="J25" s="542"/>
      <c r="K25" s="542"/>
      <c r="L25" s="542"/>
    </row>
    <row r="26" spans="3:12" ht="12.75">
      <c r="C26" s="553"/>
      <c r="D26" s="542"/>
      <c r="E26" s="542"/>
      <c r="F26" s="542"/>
      <c r="G26" s="557"/>
      <c r="H26" s="542"/>
      <c r="I26" s="542"/>
      <c r="J26" s="542"/>
      <c r="K26" s="542"/>
      <c r="L26" s="542"/>
    </row>
    <row r="27" spans="2:12" ht="12.75">
      <c r="B27" s="554" t="s">
        <v>586</v>
      </c>
      <c r="C27" s="555"/>
      <c r="D27" s="556"/>
      <c r="E27" s="556">
        <v>25.997639691757538</v>
      </c>
      <c r="F27" s="556">
        <v>25.217176645350985</v>
      </c>
      <c r="G27" s="556">
        <v>0</v>
      </c>
      <c r="H27" s="542"/>
      <c r="I27" s="542"/>
      <c r="J27" s="542"/>
      <c r="K27" s="542"/>
      <c r="L27" s="542"/>
    </row>
    <row r="28" spans="2:7" ht="12.75">
      <c r="B28" s="554" t="s">
        <v>584</v>
      </c>
      <c r="C28" s="555"/>
      <c r="D28" s="556"/>
      <c r="E28" s="556">
        <v>27.535</v>
      </c>
      <c r="F28" s="556">
        <v>33.726467521115275</v>
      </c>
      <c r="G28" s="556">
        <v>33.94786319992241</v>
      </c>
    </row>
    <row r="29" spans="2:12" ht="12.75">
      <c r="B29" s="554" t="s">
        <v>587</v>
      </c>
      <c r="C29" s="555"/>
      <c r="D29" s="556"/>
      <c r="E29" s="556">
        <v>9.321115438536534</v>
      </c>
      <c r="F29" s="556">
        <v>8.163645186958188</v>
      </c>
      <c r="G29" s="556">
        <v>0</v>
      </c>
      <c r="H29" s="542"/>
      <c r="I29" s="542"/>
      <c r="J29" s="542"/>
      <c r="K29" s="542"/>
      <c r="L29" s="542"/>
    </row>
    <row r="30" spans="2:7" ht="12.75">
      <c r="B30" s="554" t="s">
        <v>585</v>
      </c>
      <c r="C30" s="555"/>
      <c r="D30" s="556"/>
      <c r="E30" s="556">
        <v>18.717000000000006</v>
      </c>
      <c r="F30" s="556">
        <v>23.413335294829267</v>
      </c>
      <c r="G30" s="556">
        <v>25.50898575555539</v>
      </c>
    </row>
    <row r="31" spans="2:12" ht="12.75">
      <c r="B31" s="77" t="s">
        <v>482</v>
      </c>
      <c r="C31" s="553"/>
      <c r="D31" s="542"/>
      <c r="E31" s="542">
        <v>46.25200000000001</v>
      </c>
      <c r="F31" s="542">
        <v>57.13980281594454</v>
      </c>
      <c r="G31" s="542">
        <v>59.456848955477795</v>
      </c>
      <c r="H31" s="542"/>
      <c r="I31" s="542"/>
      <c r="J31" s="542"/>
      <c r="K31" s="542"/>
      <c r="L31" s="542"/>
    </row>
    <row r="32" spans="2:12" ht="12.75">
      <c r="B32" s="559" t="s">
        <v>310</v>
      </c>
      <c r="C32" s="560"/>
      <c r="D32" s="561"/>
      <c r="E32" s="561">
        <v>27.535</v>
      </c>
      <c r="F32" s="561">
        <v>33.726467521115275</v>
      </c>
      <c r="G32" s="542"/>
      <c r="H32" s="542"/>
      <c r="I32" s="542"/>
      <c r="J32" s="542"/>
      <c r="K32" s="542"/>
      <c r="L32" s="542"/>
    </row>
    <row r="33" spans="2:12" ht="12.75">
      <c r="B33" s="559" t="s">
        <v>311</v>
      </c>
      <c r="C33" s="560"/>
      <c r="D33" s="561"/>
      <c r="E33" s="561">
        <v>18.717000000000006</v>
      </c>
      <c r="F33" s="561">
        <v>23.413335294829267</v>
      </c>
      <c r="G33" s="542"/>
      <c r="H33" s="542"/>
      <c r="I33" s="542"/>
      <c r="J33" s="542"/>
      <c r="K33" s="542"/>
      <c r="L33" s="542"/>
    </row>
    <row r="34" spans="3:12" ht="12.75">
      <c r="C34" s="553"/>
      <c r="D34" s="542"/>
      <c r="E34" s="542"/>
      <c r="F34" s="542"/>
      <c r="G34" s="558"/>
      <c r="H34" s="542"/>
      <c r="I34" s="542"/>
      <c r="J34" s="542"/>
      <c r="K34" s="542"/>
      <c r="L34" s="542"/>
    </row>
    <row r="35" spans="3:12" ht="12.75">
      <c r="C35" s="553"/>
      <c r="D35" s="542"/>
      <c r="E35" s="542"/>
      <c r="F35" s="542"/>
      <c r="G35" s="558"/>
      <c r="H35" s="542"/>
      <c r="I35" s="542"/>
      <c r="J35" s="542"/>
      <c r="K35" s="542"/>
      <c r="L35" s="542"/>
    </row>
    <row r="36" spans="1:13" s="63" customFormat="1" ht="14.25">
      <c r="A36" s="121"/>
      <c r="B36" s="216" t="s">
        <v>154</v>
      </c>
      <c r="C36" s="553"/>
      <c r="D36" s="542"/>
      <c r="E36" s="542"/>
      <c r="F36" s="542"/>
      <c r="G36" s="558"/>
      <c r="H36" s="542"/>
      <c r="I36" s="542"/>
      <c r="J36" s="542"/>
      <c r="K36" s="542"/>
      <c r="L36" s="542"/>
      <c r="M36" s="71"/>
    </row>
    <row r="37" spans="1:13" s="63" customFormat="1" ht="14.25">
      <c r="A37" s="121"/>
      <c r="B37" s="71" t="s">
        <v>153</v>
      </c>
      <c r="C37" s="553"/>
      <c r="D37" s="542"/>
      <c r="E37" s="542"/>
      <c r="F37" s="542"/>
      <c r="G37" s="558"/>
      <c r="H37" s="557">
        <v>-71.62552863886732</v>
      </c>
      <c r="I37" s="557">
        <v>-70.08684820285957</v>
      </c>
      <c r="J37" s="557">
        <v>-70.30587664264341</v>
      </c>
      <c r="K37" s="557">
        <v>-69.3683442616761</v>
      </c>
      <c r="L37" s="557">
        <v>-68.18107437714914</v>
      </c>
      <c r="M37" s="71"/>
    </row>
    <row r="38" spans="1:13" s="63" customFormat="1" ht="14.25">
      <c r="A38" s="121"/>
      <c r="B38" s="71" t="s">
        <v>727</v>
      </c>
      <c r="C38" s="553"/>
      <c r="D38" s="542"/>
      <c r="E38" s="542"/>
      <c r="F38" s="542"/>
      <c r="G38" s="558"/>
      <c r="H38" s="557">
        <v>52.03498969782151</v>
      </c>
      <c r="I38" s="557">
        <v>33.82837340162577</v>
      </c>
      <c r="J38" s="557">
        <v>36.75877401321132</v>
      </c>
      <c r="K38" s="557">
        <v>25.386694232501366</v>
      </c>
      <c r="L38" s="557">
        <v>31.50887304039118</v>
      </c>
      <c r="M38" s="71"/>
    </row>
    <row r="39" spans="1:13" s="63" customFormat="1" ht="14.25">
      <c r="A39" s="121"/>
      <c r="B39" s="71" t="s">
        <v>155</v>
      </c>
      <c r="C39" s="553"/>
      <c r="D39" s="542"/>
      <c r="E39" s="542"/>
      <c r="F39" s="542"/>
      <c r="G39" s="558"/>
      <c r="H39" s="557">
        <v>31.848311600209783</v>
      </c>
      <c r="I39" s="557">
        <v>32.70083052114021</v>
      </c>
      <c r="J39" s="557">
        <v>32.022980251937845</v>
      </c>
      <c r="K39" s="557">
        <v>32.04908786132751</v>
      </c>
      <c r="L39" s="557">
        <v>32.906385058598154</v>
      </c>
      <c r="M39" s="71"/>
    </row>
    <row r="40" spans="1:13" s="63" customFormat="1" ht="14.25">
      <c r="A40" s="121"/>
      <c r="B40" s="71" t="s">
        <v>156</v>
      </c>
      <c r="C40" s="553"/>
      <c r="D40" s="542"/>
      <c r="E40" s="542"/>
      <c r="F40" s="542"/>
      <c r="G40" s="558"/>
      <c r="H40" s="557">
        <v>17.03202477744706</v>
      </c>
      <c r="I40" s="557">
        <v>16.9005</v>
      </c>
      <c r="J40" s="557">
        <v>17.12229166666667</v>
      </c>
      <c r="K40" s="557">
        <v>17.319458333333333</v>
      </c>
      <c r="L40" s="557">
        <v>17.510166666666663</v>
      </c>
      <c r="M40" s="71"/>
    </row>
    <row r="41" spans="1:13" s="63" customFormat="1" ht="14.25">
      <c r="A41" s="121"/>
      <c r="B41" s="71" t="s">
        <v>820</v>
      </c>
      <c r="C41" s="553"/>
      <c r="D41" s="542"/>
      <c r="E41" s="542"/>
      <c r="F41" s="542"/>
      <c r="G41" s="558"/>
      <c r="H41" s="557">
        <v>82.60768209435014</v>
      </c>
      <c r="I41" s="557">
        <v>75.12819567051066</v>
      </c>
      <c r="J41" s="557">
        <v>68.3356995252612</v>
      </c>
      <c r="K41" s="557">
        <v>67.84504948243047</v>
      </c>
      <c r="L41" s="557">
        <v>73.5701816730205</v>
      </c>
      <c r="M41" s="71"/>
    </row>
    <row r="42" spans="1:13" s="63" customFormat="1" ht="14.25">
      <c r="A42" s="121"/>
      <c r="B42" s="63" t="s">
        <v>158</v>
      </c>
      <c r="C42" s="553"/>
      <c r="D42" s="542"/>
      <c r="E42" s="542"/>
      <c r="F42" s="542"/>
      <c r="G42" s="558"/>
      <c r="H42" s="557">
        <v>52.90717944750115</v>
      </c>
      <c r="I42" s="557">
        <v>54.54121472666306</v>
      </c>
      <c r="J42" s="557">
        <v>54.31723412872789</v>
      </c>
      <c r="K42" s="557">
        <v>55.24582940155365</v>
      </c>
      <c r="L42" s="557">
        <v>57.16395218133638</v>
      </c>
      <c r="M42" s="71"/>
    </row>
    <row r="43" spans="1:13" s="63" customFormat="1" ht="14.25">
      <c r="A43" s="121"/>
      <c r="B43" s="63" t="s">
        <v>159</v>
      </c>
      <c r="C43" s="553"/>
      <c r="D43" s="542"/>
      <c r="E43" s="542"/>
      <c r="F43" s="542"/>
      <c r="G43" s="558"/>
      <c r="H43" s="557">
        <v>38.436687336026644</v>
      </c>
      <c r="I43" s="557">
        <v>29.690818696039777</v>
      </c>
      <c r="J43" s="557">
        <v>27.336906780890892</v>
      </c>
      <c r="K43" s="557">
        <v>21.879493731014627</v>
      </c>
      <c r="L43" s="557">
        <v>28.32939806412933</v>
      </c>
      <c r="M43" s="71"/>
    </row>
    <row r="44" spans="1:13" s="63" customFormat="1" ht="14.25">
      <c r="A44" s="121"/>
      <c r="B44" s="63" t="s">
        <v>67</v>
      </c>
      <c r="C44" s="553"/>
      <c r="D44" s="542"/>
      <c r="E44" s="542"/>
      <c r="F44" s="542"/>
      <c r="G44" s="558"/>
      <c r="H44" s="557">
        <v>-15.561</v>
      </c>
      <c r="I44" s="557">
        <v>-15.561</v>
      </c>
      <c r="J44" s="557">
        <v>-15.561</v>
      </c>
      <c r="K44" s="557">
        <v>-15.561</v>
      </c>
      <c r="L44" s="557">
        <v>-15.561</v>
      </c>
      <c r="M44" s="71"/>
    </row>
    <row r="45" spans="1:13" s="63" customFormat="1" ht="14.25">
      <c r="A45" s="121"/>
      <c r="B45" s="63" t="s">
        <v>57</v>
      </c>
      <c r="C45" s="553"/>
      <c r="D45" s="542"/>
      <c r="E45" s="542"/>
      <c r="F45" s="542"/>
      <c r="G45" s="558"/>
      <c r="H45" s="557">
        <v>-27.765122386500487</v>
      </c>
      <c r="I45" s="557">
        <v>-28.537445311192283</v>
      </c>
      <c r="J45" s="557">
        <v>-28.902035204831215</v>
      </c>
      <c r="K45" s="557">
        <v>-29.576782502445305</v>
      </c>
      <c r="L45" s="557">
        <v>-29.612536274936353</v>
      </c>
      <c r="M45" s="71"/>
    </row>
    <row r="46" spans="1:13" s="63" customFormat="1" ht="14.25">
      <c r="A46" s="121"/>
      <c r="B46" s="71" t="s">
        <v>157</v>
      </c>
      <c r="C46" s="553"/>
      <c r="D46" s="542"/>
      <c r="E46" s="542"/>
      <c r="F46" s="542"/>
      <c r="G46" s="558"/>
      <c r="H46" s="557">
        <v>6.341138236794745</v>
      </c>
      <c r="I46" s="557">
        <v>6.341138236794745</v>
      </c>
      <c r="J46" s="557">
        <v>6.341138236794745</v>
      </c>
      <c r="K46" s="557">
        <v>6.341138236794745</v>
      </c>
      <c r="L46" s="557">
        <v>6.341138236794745</v>
      </c>
      <c r="M46" s="71"/>
    </row>
    <row r="47" spans="1:13" s="63" customFormat="1" ht="14.25">
      <c r="A47" s="121"/>
      <c r="B47" s="71" t="s">
        <v>819</v>
      </c>
      <c r="C47" s="553"/>
      <c r="D47" s="542"/>
      <c r="E47" s="143"/>
      <c r="F47" s="143"/>
      <c r="G47" s="143"/>
      <c r="H47" s="510">
        <v>-24.54163337209001</v>
      </c>
      <c r="I47" s="510">
        <v>-24.220271383716444</v>
      </c>
      <c r="J47" s="510">
        <v>-25.23368475671704</v>
      </c>
      <c r="K47" s="510">
        <v>-24.143336720595904</v>
      </c>
      <c r="L47" s="510">
        <v>-24.130194224708056</v>
      </c>
      <c r="M47" s="71"/>
    </row>
    <row r="48" spans="1:13" s="63" customFormat="1" ht="14.25">
      <c r="A48" s="121"/>
      <c r="B48" s="216"/>
      <c r="C48" s="553"/>
      <c r="D48" s="542"/>
      <c r="E48" s="542"/>
      <c r="F48" s="542"/>
      <c r="G48" s="558"/>
      <c r="H48" s="542"/>
      <c r="I48" s="542"/>
      <c r="J48" s="542"/>
      <c r="K48" s="542"/>
      <c r="L48" s="542"/>
      <c r="M48" s="71"/>
    </row>
    <row r="49" spans="1:12" s="63" customFormat="1" ht="14.25">
      <c r="A49" s="121"/>
      <c r="B49" s="122" t="s">
        <v>419</v>
      </c>
      <c r="C49" s="553"/>
      <c r="D49" s="542"/>
      <c r="E49" s="542"/>
      <c r="F49" s="542"/>
      <c r="G49" s="542"/>
      <c r="H49" s="542"/>
      <c r="I49" s="542"/>
      <c r="J49" s="542"/>
      <c r="K49" s="542"/>
      <c r="L49" s="542"/>
    </row>
    <row r="50" spans="1:12" s="63" customFormat="1" ht="14.25">
      <c r="A50" s="121"/>
      <c r="B50" s="77" t="s">
        <v>160</v>
      </c>
      <c r="C50" s="553"/>
      <c r="D50" s="542"/>
      <c r="E50" s="543">
        <v>12.279426</v>
      </c>
      <c r="F50" s="543">
        <v>11.470065</v>
      </c>
      <c r="G50" s="543">
        <v>6.56451678</v>
      </c>
      <c r="H50" s="543">
        <v>5.6458135956</v>
      </c>
      <c r="I50" s="543">
        <v>5.744081227512</v>
      </c>
      <c r="J50" s="543">
        <v>5.561177212062241</v>
      </c>
      <c r="K50" s="543">
        <v>5.6634148563034845</v>
      </c>
      <c r="L50" s="543">
        <v>5.767697253429555</v>
      </c>
    </row>
    <row r="51" spans="1:12" s="63" customFormat="1" ht="14.25">
      <c r="A51" s="121"/>
      <c r="B51" s="77"/>
      <c r="C51" s="553"/>
      <c r="D51" s="542"/>
      <c r="E51" s="542"/>
      <c r="F51" s="542"/>
      <c r="G51" s="542"/>
      <c r="H51" s="542"/>
      <c r="I51" s="542"/>
      <c r="J51" s="542"/>
      <c r="K51" s="542"/>
      <c r="L51" s="542"/>
    </row>
    <row r="52" spans="1:12" s="63" customFormat="1" ht="14.25">
      <c r="A52" s="121"/>
      <c r="B52" s="77"/>
      <c r="C52" s="553"/>
      <c r="D52" s="542"/>
      <c r="E52" s="542"/>
      <c r="F52" s="542"/>
      <c r="G52" s="542"/>
      <c r="H52" s="542"/>
      <c r="I52" s="542"/>
      <c r="J52" s="542"/>
      <c r="K52" s="542"/>
      <c r="L52" s="542"/>
    </row>
    <row r="53" spans="2:12" ht="12.75">
      <c r="B53" s="110" t="s">
        <v>161</v>
      </c>
      <c r="C53" s="553"/>
      <c r="D53" s="542"/>
      <c r="E53" s="542"/>
      <c r="F53" s="542"/>
      <c r="G53" s="542"/>
      <c r="H53" s="542"/>
      <c r="I53" s="542"/>
      <c r="J53" s="542"/>
      <c r="K53" s="542"/>
      <c r="L53" s="542"/>
    </row>
    <row r="54" spans="2:12" ht="12.75">
      <c r="B54" s="545" t="s">
        <v>535</v>
      </c>
      <c r="C54" s="549"/>
      <c r="D54" s="546"/>
      <c r="E54" s="546">
        <v>4.4977690268227075</v>
      </c>
      <c r="F54" s="546">
        <v>4.252640860718133</v>
      </c>
      <c r="G54" s="574">
        <v>6.341138236794745</v>
      </c>
      <c r="H54" s="542"/>
      <c r="I54" s="542"/>
      <c r="J54" s="542"/>
      <c r="K54" s="542"/>
      <c r="L54" s="542"/>
    </row>
    <row r="55" spans="2:12" ht="12.75">
      <c r="B55" s="554" t="s">
        <v>536</v>
      </c>
      <c r="C55" s="555"/>
      <c r="D55" s="556"/>
      <c r="E55" s="556">
        <v>6.2</v>
      </c>
      <c r="F55" s="556">
        <v>7.1</v>
      </c>
      <c r="G55" s="556">
        <v>7.3</v>
      </c>
      <c r="H55" s="542"/>
      <c r="I55" s="542"/>
      <c r="J55" s="542"/>
      <c r="K55" s="542"/>
      <c r="L55" s="542"/>
    </row>
    <row r="56" spans="2:7" ht="12.75">
      <c r="B56" s="564" t="s">
        <v>768</v>
      </c>
      <c r="C56" s="565"/>
      <c r="D56" s="566"/>
      <c r="E56" s="566">
        <v>6.9231443349504795</v>
      </c>
      <c r="F56" s="566">
        <v>6.341138236794745</v>
      </c>
      <c r="G56" s="566">
        <v>6.341138236794745</v>
      </c>
    </row>
    <row r="57" spans="2:7" ht="12.75">
      <c r="B57" s="545" t="s">
        <v>537</v>
      </c>
      <c r="C57" s="549"/>
      <c r="D57" s="546"/>
      <c r="E57" s="546">
        <v>2.314996955897936</v>
      </c>
      <c r="F57" s="546">
        <v>2.2560584083144923</v>
      </c>
      <c r="G57" s="574">
        <v>6.98071185865665</v>
      </c>
    </row>
    <row r="58" spans="3:12" s="121" customFormat="1" ht="14.25">
      <c r="C58" s="562"/>
      <c r="D58" s="558"/>
      <c r="E58" s="558"/>
      <c r="F58" s="558"/>
      <c r="G58" s="172"/>
      <c r="H58" s="558"/>
      <c r="I58" s="558"/>
      <c r="J58" s="558"/>
      <c r="K58" s="558"/>
      <c r="L58" s="558"/>
    </row>
    <row r="59" spans="2:7" ht="12.75">
      <c r="B59" s="554" t="s">
        <v>659</v>
      </c>
      <c r="C59" s="555"/>
      <c r="D59" s="556"/>
      <c r="E59" s="556">
        <v>3.7414092663481924</v>
      </c>
      <c r="F59" s="556">
        <v>4.095</v>
      </c>
      <c r="G59" s="556">
        <v>5.903601108033241</v>
      </c>
    </row>
    <row r="60" spans="2:12" ht="12.75">
      <c r="B60" s="564" t="s">
        <v>300</v>
      </c>
      <c r="C60" s="565"/>
      <c r="D60" s="566"/>
      <c r="E60" s="567">
        <v>0.233</v>
      </c>
      <c r="F60" s="567">
        <v>0.233</v>
      </c>
      <c r="G60" s="567">
        <v>0.37</v>
      </c>
      <c r="I60" s="542"/>
      <c r="J60" s="542"/>
      <c r="K60" s="542"/>
      <c r="L60" s="547"/>
    </row>
    <row r="61" spans="2:12" ht="12.75">
      <c r="B61" s="77" t="s">
        <v>570</v>
      </c>
      <c r="C61" s="553"/>
      <c r="D61" s="542"/>
      <c r="E61" s="566">
        <v>28.03563770401744</v>
      </c>
      <c r="F61" s="77">
        <v>0</v>
      </c>
      <c r="G61" s="542">
        <v>3.873588905776622</v>
      </c>
      <c r="H61" s="542"/>
      <c r="I61" s="542"/>
      <c r="J61" s="542"/>
      <c r="K61" s="542"/>
      <c r="L61" s="547"/>
    </row>
    <row r="62" spans="2:12" ht="12.75">
      <c r="B62" s="77" t="s">
        <v>431</v>
      </c>
      <c r="C62" s="553"/>
      <c r="D62" s="542"/>
      <c r="E62" s="542"/>
      <c r="F62" s="542"/>
      <c r="G62" s="566">
        <v>2.0013035896933555</v>
      </c>
      <c r="H62" s="542"/>
      <c r="I62" s="542"/>
      <c r="J62" s="542"/>
      <c r="K62" s="542"/>
      <c r="L62" s="131"/>
    </row>
    <row r="63" spans="2:12" ht="12.75">
      <c r="B63" s="77" t="s">
        <v>658</v>
      </c>
      <c r="C63" s="553"/>
      <c r="D63" s="542"/>
      <c r="E63" s="542">
        <v>4.2</v>
      </c>
      <c r="F63" s="542">
        <v>4.7</v>
      </c>
      <c r="G63" s="542">
        <v>11.5</v>
      </c>
      <c r="H63" s="542"/>
      <c r="I63" s="542"/>
      <c r="J63" s="542"/>
      <c r="K63" s="542"/>
      <c r="L63" s="131"/>
    </row>
    <row r="64" spans="2:13" ht="12.75">
      <c r="B64" s="77" t="s">
        <v>666</v>
      </c>
      <c r="E64" s="131">
        <v>0.6</v>
      </c>
      <c r="F64" s="131">
        <v>0.7</v>
      </c>
      <c r="G64" s="131">
        <v>0.7</v>
      </c>
      <c r="H64" s="542"/>
      <c r="I64" s="542"/>
      <c r="J64" s="542"/>
      <c r="K64" s="542"/>
      <c r="L64" s="542"/>
      <c r="M64" s="131"/>
    </row>
    <row r="65" spans="2:12" ht="12.75">
      <c r="B65" s="77" t="s">
        <v>495</v>
      </c>
      <c r="D65" s="542">
        <v>759.395176734577</v>
      </c>
      <c r="E65" s="542"/>
      <c r="F65" s="542"/>
      <c r="G65" s="542"/>
      <c r="H65" s="542"/>
      <c r="I65" s="542"/>
      <c r="J65" s="542"/>
      <c r="K65" s="542"/>
      <c r="L65" s="542"/>
    </row>
    <row r="66" spans="2:13" ht="12.75">
      <c r="B66" s="77" t="s">
        <v>550</v>
      </c>
      <c r="E66" s="556">
        <v>0</v>
      </c>
      <c r="F66" s="556">
        <v>0</v>
      </c>
      <c r="G66" s="556">
        <v>0</v>
      </c>
      <c r="M66" s="131"/>
    </row>
    <row r="67" spans="2:7" ht="12.75">
      <c r="B67" s="77" t="s">
        <v>551</v>
      </c>
      <c r="E67" s="556">
        <v>0</v>
      </c>
      <c r="F67" s="556">
        <v>0</v>
      </c>
      <c r="G67" s="556">
        <v>0</v>
      </c>
    </row>
    <row r="68" ht="12.75"/>
    <row r="69" ht="12.75">
      <c r="B69" s="110"/>
    </row>
    <row r="70" spans="2:7" ht="12.75">
      <c r="B70" s="554" t="s">
        <v>785</v>
      </c>
      <c r="E70" s="590">
        <v>176.7</v>
      </c>
      <c r="F70" s="590">
        <v>186</v>
      </c>
      <c r="G70" s="590">
        <v>218.9</v>
      </c>
    </row>
    <row r="71" spans="2:7" ht="12.75">
      <c r="B71" s="554" t="s">
        <v>480</v>
      </c>
      <c r="E71" s="590">
        <v>-69.1</v>
      </c>
      <c r="F71" s="590">
        <v>-74.2</v>
      </c>
      <c r="G71" s="590">
        <v>-84.9</v>
      </c>
    </row>
    <row r="72" spans="2:12" ht="12.75">
      <c r="B72" s="554" t="s">
        <v>67</v>
      </c>
      <c r="E72" s="590">
        <v>-14.2</v>
      </c>
      <c r="F72" s="590">
        <v>-15.609</v>
      </c>
      <c r="G72" s="590">
        <v>-15.561</v>
      </c>
      <c r="H72" s="121"/>
      <c r="I72" s="121"/>
      <c r="J72" s="121"/>
      <c r="K72" s="121"/>
      <c r="L72" s="121"/>
    </row>
    <row r="73" spans="2:12" ht="12.75">
      <c r="B73" s="554" t="s">
        <v>8</v>
      </c>
      <c r="E73" s="590">
        <v>-21.918198942433335</v>
      </c>
      <c r="F73" s="590">
        <v>-23.3315</v>
      </c>
      <c r="G73" s="590">
        <v>-26.615633000000003</v>
      </c>
      <c r="H73" s="121"/>
      <c r="I73" s="121"/>
      <c r="J73" s="121"/>
      <c r="K73" s="121"/>
      <c r="L73" s="121"/>
    </row>
    <row r="74" spans="2:12" ht="12.75">
      <c r="B74" s="554" t="s">
        <v>754</v>
      </c>
      <c r="E74" s="590">
        <v>2</v>
      </c>
      <c r="F74" s="590">
        <v>1.7</v>
      </c>
      <c r="G74" s="590">
        <v>-0.8</v>
      </c>
      <c r="H74" s="121"/>
      <c r="I74" s="121"/>
      <c r="J74" s="121"/>
      <c r="K74" s="121"/>
      <c r="L74" s="121"/>
    </row>
    <row r="75" spans="2:12" ht="12.75">
      <c r="B75" s="554" t="s">
        <v>57</v>
      </c>
      <c r="E75" s="590">
        <v>-28.2</v>
      </c>
      <c r="F75" s="590">
        <v>-27.6</v>
      </c>
      <c r="G75" s="590">
        <v>-27.9</v>
      </c>
      <c r="H75" s="569"/>
      <c r="I75" s="569"/>
      <c r="J75" s="569"/>
      <c r="K75" s="569"/>
      <c r="L75" s="569"/>
    </row>
    <row r="76" spans="1:12" ht="14.25">
      <c r="A76" s="71"/>
      <c r="B76" s="554" t="s">
        <v>162</v>
      </c>
      <c r="E76" s="590">
        <v>53.94414602758771</v>
      </c>
      <c r="F76" s="590">
        <v>34.21227609154304</v>
      </c>
      <c r="G76" s="590">
        <v>64.99368960193311</v>
      </c>
      <c r="H76" s="558"/>
      <c r="I76" s="558"/>
      <c r="J76" s="558"/>
      <c r="K76" s="558"/>
      <c r="L76" s="558"/>
    </row>
    <row r="77" spans="1:12" ht="14.25">
      <c r="A77" s="71"/>
      <c r="B77" s="554" t="s">
        <v>586</v>
      </c>
      <c r="E77" s="590">
        <v>25.997639691757538</v>
      </c>
      <c r="F77" s="590">
        <v>25.217176645350985</v>
      </c>
      <c r="G77" s="590">
        <v>0</v>
      </c>
      <c r="H77" s="71"/>
      <c r="I77" s="71"/>
      <c r="J77" s="71"/>
      <c r="K77" s="71"/>
      <c r="L77" s="71"/>
    </row>
    <row r="78" spans="1:12" ht="14.25">
      <c r="A78" s="71"/>
      <c r="B78" s="554" t="s">
        <v>584</v>
      </c>
      <c r="E78" s="590">
        <v>27.535</v>
      </c>
      <c r="F78" s="590">
        <v>33.726467521115275</v>
      </c>
      <c r="G78" s="590">
        <v>33.94786319992241</v>
      </c>
      <c r="H78" s="558"/>
      <c r="I78" s="558"/>
      <c r="J78" s="558"/>
      <c r="K78" s="558"/>
      <c r="L78" s="558"/>
    </row>
    <row r="79" spans="1:12" ht="14.25">
      <c r="A79" s="71"/>
      <c r="B79" s="554" t="s">
        <v>587</v>
      </c>
      <c r="E79" s="590">
        <v>9.321115438536534</v>
      </c>
      <c r="F79" s="590">
        <v>8.163645186958188</v>
      </c>
      <c r="G79" s="590">
        <v>0</v>
      </c>
      <c r="H79" s="71"/>
      <c r="I79" s="71"/>
      <c r="J79" s="71"/>
      <c r="K79" s="71"/>
      <c r="L79" s="71"/>
    </row>
    <row r="80" spans="1:12" ht="14.25">
      <c r="A80" s="71"/>
      <c r="B80" s="554" t="s">
        <v>585</v>
      </c>
      <c r="E80" s="590">
        <v>18.717000000000006</v>
      </c>
      <c r="F80" s="590">
        <v>23.413335294829267</v>
      </c>
      <c r="G80" s="590">
        <v>25.50898575555539</v>
      </c>
      <c r="H80" s="558"/>
      <c r="I80" s="558"/>
      <c r="J80" s="558"/>
      <c r="K80" s="558"/>
      <c r="L80" s="558"/>
    </row>
    <row r="81" spans="2:12" ht="12.75">
      <c r="B81" s="554" t="s">
        <v>588</v>
      </c>
      <c r="E81" s="590">
        <v>0</v>
      </c>
      <c r="F81" s="590">
        <v>0</v>
      </c>
      <c r="G81" s="590">
        <v>0</v>
      </c>
      <c r="H81" s="121"/>
      <c r="I81" s="121"/>
      <c r="J81" s="121"/>
      <c r="K81" s="121"/>
      <c r="L81" s="121"/>
    </row>
    <row r="82" spans="2:12" ht="12.75">
      <c r="B82" s="554" t="s">
        <v>589</v>
      </c>
      <c r="E82" s="590">
        <v>0</v>
      </c>
      <c r="F82" s="590">
        <v>0</v>
      </c>
      <c r="G82" s="590">
        <v>0</v>
      </c>
      <c r="H82" s="121"/>
      <c r="I82" s="121"/>
      <c r="J82" s="121"/>
      <c r="K82" s="121"/>
      <c r="L82" s="121"/>
    </row>
    <row r="83" spans="2:12" ht="12.75">
      <c r="B83" s="554" t="s">
        <v>598</v>
      </c>
      <c r="E83" s="590">
        <v>6.2</v>
      </c>
      <c r="F83" s="590">
        <v>7.1</v>
      </c>
      <c r="G83" s="590">
        <v>7.3</v>
      </c>
      <c r="H83" s="569"/>
      <c r="I83" s="569"/>
      <c r="J83" s="569"/>
      <c r="K83" s="569"/>
      <c r="L83" s="569"/>
    </row>
    <row r="84" spans="1:12" ht="14.25">
      <c r="A84" s="71"/>
      <c r="B84" s="554" t="s">
        <v>163</v>
      </c>
      <c r="E84" s="590">
        <v>2.040951953506414</v>
      </c>
      <c r="F84" s="590">
        <v>1.988990440761961</v>
      </c>
      <c r="G84" s="590">
        <v>0</v>
      </c>
      <c r="H84" s="569"/>
      <c r="I84" s="569"/>
      <c r="J84" s="569"/>
      <c r="K84" s="569"/>
      <c r="L84" s="569"/>
    </row>
    <row r="85" spans="2:12" ht="12.75">
      <c r="B85" s="554" t="s">
        <v>607</v>
      </c>
      <c r="E85" s="590">
        <v>4.120972525253081</v>
      </c>
      <c r="F85" s="590">
        <v>4.5</v>
      </c>
      <c r="G85" s="590">
        <v>7.2</v>
      </c>
      <c r="H85" s="121"/>
      <c r="I85" s="121"/>
      <c r="J85" s="121"/>
      <c r="K85" s="121"/>
      <c r="L85" s="121"/>
    </row>
    <row r="86" spans="2:7" ht="12.75">
      <c r="B86" s="554" t="s">
        <v>481</v>
      </c>
      <c r="E86" s="131">
        <v>3.7414092663481924</v>
      </c>
      <c r="F86" s="131">
        <v>4.095</v>
      </c>
      <c r="G86" s="131">
        <v>5.903601108033241</v>
      </c>
    </row>
    <row r="87" spans="2:7" ht="12.75">
      <c r="B87" s="554" t="s">
        <v>657</v>
      </c>
      <c r="E87" s="590">
        <v>4.2</v>
      </c>
      <c r="F87" s="590">
        <v>4.7</v>
      </c>
      <c r="G87" s="590">
        <v>11.5</v>
      </c>
    </row>
    <row r="88" spans="2:7" ht="12.75">
      <c r="B88" s="77" t="s">
        <v>667</v>
      </c>
      <c r="E88" s="542">
        <v>0.6</v>
      </c>
      <c r="F88" s="542">
        <v>0.7</v>
      </c>
      <c r="G88" s="542">
        <v>0.7</v>
      </c>
    </row>
    <row r="89" spans="5:7" ht="12.75">
      <c r="E89" s="542"/>
      <c r="F89" s="542"/>
      <c r="G89" s="542"/>
    </row>
    <row r="90" spans="5:7" ht="12.75">
      <c r="E90" s="542"/>
      <c r="F90" s="542"/>
      <c r="G90" s="542"/>
    </row>
    <row r="91" spans="2:7" ht="14.25">
      <c r="B91" s="69" t="s">
        <v>164</v>
      </c>
      <c r="E91" s="542"/>
      <c r="F91" s="542"/>
      <c r="G91" s="542"/>
    </row>
    <row r="92" spans="3:4" ht="12.75">
      <c r="C92" s="555"/>
      <c r="D92" s="556"/>
    </row>
    <row r="93" spans="2:7" ht="12.75">
      <c r="B93" s="554" t="s">
        <v>178</v>
      </c>
      <c r="C93" s="555"/>
      <c r="D93" s="556"/>
      <c r="E93" s="556">
        <v>0</v>
      </c>
      <c r="F93" s="556">
        <v>0</v>
      </c>
      <c r="G93" s="556">
        <v>0</v>
      </c>
    </row>
    <row r="94" spans="2:7" ht="12.75">
      <c r="B94" s="554" t="s">
        <v>179</v>
      </c>
      <c r="C94" s="555"/>
      <c r="D94" s="556"/>
      <c r="E94" s="556">
        <v>2.5</v>
      </c>
      <c r="F94" s="556">
        <v>2.2</v>
      </c>
      <c r="G94" s="556">
        <v>0</v>
      </c>
    </row>
    <row r="95" spans="2:7" ht="12.75">
      <c r="B95" s="554" t="s">
        <v>180</v>
      </c>
      <c r="C95" s="555"/>
      <c r="D95" s="556"/>
      <c r="E95" s="556">
        <v>-0.3</v>
      </c>
      <c r="F95" s="556">
        <v>-0.6</v>
      </c>
      <c r="G95" s="556">
        <v>-0.9</v>
      </c>
    </row>
    <row r="96" spans="2:7" ht="12.75">
      <c r="B96" s="554" t="s">
        <v>192</v>
      </c>
      <c r="C96" s="555"/>
      <c r="D96" s="556"/>
      <c r="E96" s="556">
        <v>0</v>
      </c>
      <c r="F96" s="556">
        <v>0</v>
      </c>
      <c r="G96" s="556">
        <v>0</v>
      </c>
    </row>
    <row r="97" spans="2:7" ht="12.75">
      <c r="B97" s="554" t="s">
        <v>149</v>
      </c>
      <c r="C97" s="555"/>
      <c r="D97" s="556"/>
      <c r="E97" s="556">
        <v>0.1</v>
      </c>
      <c r="F97" s="556">
        <v>0.1</v>
      </c>
      <c r="G97" s="556">
        <v>0.1</v>
      </c>
    </row>
    <row r="98" spans="2:12" ht="25.5">
      <c r="B98" s="238" t="s">
        <v>231</v>
      </c>
      <c r="E98" s="591">
        <v>0.9078947368421053</v>
      </c>
      <c r="F98" s="591">
        <v>0.91</v>
      </c>
      <c r="G98" s="591">
        <v>0.8199445983379502</v>
      </c>
      <c r="H98" s="557">
        <v>-1.0065427346500093</v>
      </c>
      <c r="I98" s="557">
        <v>-0.7979576358484775</v>
      </c>
      <c r="J98" s="557">
        <v>-0.8755976198586037</v>
      </c>
      <c r="K98" s="557">
        <v>-0.6681750477200614</v>
      </c>
      <c r="L98" s="557">
        <v>-0.8629841186095569</v>
      </c>
    </row>
    <row r="99" spans="2:7" ht="12.75">
      <c r="B99" s="582"/>
      <c r="E99" s="592"/>
      <c r="F99" s="592"/>
      <c r="G99" s="592"/>
    </row>
    <row r="100" spans="2:7" ht="12.75">
      <c r="B100" s="582"/>
      <c r="E100" s="592"/>
      <c r="F100" s="592"/>
      <c r="G100" s="592"/>
    </row>
    <row r="101" spans="2:7" ht="12.75">
      <c r="B101" s="582"/>
      <c r="E101" s="592"/>
      <c r="F101" s="592"/>
      <c r="G101" s="592"/>
    </row>
    <row r="102" ht="12.75">
      <c r="B102" s="110" t="s">
        <v>165</v>
      </c>
    </row>
    <row r="103" spans="2:12" ht="12.75">
      <c r="B103" s="77" t="s">
        <v>636</v>
      </c>
      <c r="E103" s="574">
        <v>142.2</v>
      </c>
      <c r="F103" s="574">
        <v>138.645</v>
      </c>
      <c r="G103" s="574">
        <v>135.09</v>
      </c>
      <c r="H103" s="574">
        <v>131.535</v>
      </c>
      <c r="I103" s="574">
        <v>127.98</v>
      </c>
      <c r="J103" s="574">
        <v>124.425</v>
      </c>
      <c r="K103" s="574">
        <v>120.87</v>
      </c>
      <c r="L103" s="574">
        <v>117.315</v>
      </c>
    </row>
    <row r="104" spans="2:12" ht="12.75">
      <c r="B104" s="77" t="s">
        <v>647</v>
      </c>
      <c r="E104" s="574">
        <v>964.5</v>
      </c>
      <c r="F104" s="574">
        <v>987.0614607487327</v>
      </c>
      <c r="G104" s="574">
        <v>1051.2456013443873</v>
      </c>
      <c r="H104" s="574">
        <v>1104.7534939508719</v>
      </c>
      <c r="I104" s="574">
        <v>1140.7339961432494</v>
      </c>
      <c r="J104" s="574">
        <v>1193.0110279533146</v>
      </c>
      <c r="K104" s="574">
        <v>1215.7996595040095</v>
      </c>
      <c r="L104" s="574">
        <v>1250.0447940493489</v>
      </c>
    </row>
    <row r="105" spans="2:12" ht="12.75">
      <c r="B105" s="77" t="s">
        <v>111</v>
      </c>
      <c r="E105" s="121"/>
      <c r="F105" s="121"/>
      <c r="G105" s="121"/>
      <c r="H105" s="121"/>
      <c r="I105" s="121"/>
      <c r="J105" s="121"/>
      <c r="K105" s="121"/>
      <c r="L105" s="121"/>
    </row>
    <row r="106" ht="12.75"/>
    <row r="107" spans="2:12" ht="12.75">
      <c r="B107" s="77" t="s">
        <v>0</v>
      </c>
      <c r="E107" s="593" t="s">
        <v>21</v>
      </c>
      <c r="F107" s="593" t="s">
        <v>21</v>
      </c>
      <c r="G107" s="593" t="s">
        <v>21</v>
      </c>
      <c r="H107" s="593" t="s">
        <v>21</v>
      </c>
      <c r="I107" s="593" t="s">
        <v>21</v>
      </c>
      <c r="J107" s="593" t="s">
        <v>21</v>
      </c>
      <c r="K107" s="593" t="s">
        <v>21</v>
      </c>
      <c r="L107" s="593" t="s">
        <v>21</v>
      </c>
    </row>
    <row r="108" spans="2:12" ht="12.75">
      <c r="B108" s="77" t="s">
        <v>756</v>
      </c>
      <c r="E108" s="574">
        <v>18.2</v>
      </c>
      <c r="F108" s="574">
        <v>17.655342465753424</v>
      </c>
      <c r="G108" s="574">
        <v>20.98641915527286</v>
      </c>
      <c r="H108" s="574">
        <v>23.689842304790957</v>
      </c>
      <c r="I108" s="574">
        <v>24.24524029332077</v>
      </c>
      <c r="J108" s="574">
        <v>24.813659344705044</v>
      </c>
      <c r="K108" s="574">
        <v>25.395404732065693</v>
      </c>
      <c r="L108" s="574">
        <v>25.9907888855194</v>
      </c>
    </row>
    <row r="109" spans="2:12" ht="12.75">
      <c r="B109" s="77" t="s">
        <v>637</v>
      </c>
      <c r="E109" s="573">
        <v>20.9</v>
      </c>
      <c r="F109" s="573">
        <v>20.9</v>
      </c>
      <c r="G109" s="573">
        <v>20.9</v>
      </c>
      <c r="H109" s="573">
        <v>20.9</v>
      </c>
      <c r="I109" s="573">
        <v>20.9</v>
      </c>
      <c r="J109" s="573">
        <v>20.9</v>
      </c>
      <c r="K109" s="573">
        <v>20.9</v>
      </c>
      <c r="L109" s="573">
        <v>20.9</v>
      </c>
    </row>
    <row r="110" spans="2:12" ht="12.75">
      <c r="B110" s="77" t="s">
        <v>648</v>
      </c>
      <c r="E110" s="573">
        <v>0.2</v>
      </c>
      <c r="F110" s="573" t="s">
        <v>21</v>
      </c>
      <c r="G110" s="573" t="s">
        <v>21</v>
      </c>
      <c r="H110" s="573" t="s">
        <v>21</v>
      </c>
      <c r="I110" s="573" t="s">
        <v>21</v>
      </c>
      <c r="J110" s="573" t="s">
        <v>21</v>
      </c>
      <c r="K110" s="573" t="s">
        <v>21</v>
      </c>
      <c r="L110" s="573" t="s">
        <v>21</v>
      </c>
    </row>
    <row r="111" spans="2:12" ht="12.75">
      <c r="B111" s="77" t="s">
        <v>649</v>
      </c>
      <c r="E111" s="573" t="s">
        <v>21</v>
      </c>
      <c r="F111" s="573" t="s">
        <v>21</v>
      </c>
      <c r="G111" s="573" t="s">
        <v>21</v>
      </c>
      <c r="H111" s="573" t="s">
        <v>21</v>
      </c>
      <c r="I111" s="573" t="s">
        <v>21</v>
      </c>
      <c r="J111" s="573" t="s">
        <v>21</v>
      </c>
      <c r="K111" s="573" t="s">
        <v>21</v>
      </c>
      <c r="L111" s="573" t="s">
        <v>21</v>
      </c>
    </row>
    <row r="112" spans="2:12" ht="12.75">
      <c r="B112" s="77" t="s">
        <v>638</v>
      </c>
      <c r="E112" s="573" t="s">
        <v>21</v>
      </c>
      <c r="F112" s="573" t="s">
        <v>21</v>
      </c>
      <c r="G112" s="573" t="s">
        <v>21</v>
      </c>
      <c r="H112" s="573" t="s">
        <v>21</v>
      </c>
      <c r="I112" s="573" t="s">
        <v>21</v>
      </c>
      <c r="J112" s="573" t="s">
        <v>21</v>
      </c>
      <c r="K112" s="573" t="s">
        <v>21</v>
      </c>
      <c r="L112" s="573" t="s">
        <v>21</v>
      </c>
    </row>
    <row r="113" ht="12.75"/>
    <row r="114" spans="2:12" ht="12.75">
      <c r="B114" s="77" t="s">
        <v>639</v>
      </c>
      <c r="E114" s="573" t="s">
        <v>21</v>
      </c>
      <c r="F114" s="573" t="s">
        <v>21</v>
      </c>
      <c r="G114" s="573" t="s">
        <v>21</v>
      </c>
      <c r="H114" s="573" t="s">
        <v>21</v>
      </c>
      <c r="I114" s="573" t="s">
        <v>21</v>
      </c>
      <c r="J114" s="573" t="s">
        <v>21</v>
      </c>
      <c r="K114" s="573" t="s">
        <v>21</v>
      </c>
      <c r="L114" s="573" t="s">
        <v>21</v>
      </c>
    </row>
    <row r="115" spans="2:12" ht="12.75">
      <c r="B115" s="77" t="s">
        <v>640</v>
      </c>
      <c r="E115" s="574">
        <v>-17.4</v>
      </c>
      <c r="F115" s="574">
        <v>-17.7494799004405</v>
      </c>
      <c r="G115" s="574">
        <v>-23.231946263584067</v>
      </c>
      <c r="H115" s="574">
        <v>-22.985586209849433</v>
      </c>
      <c r="I115" s="574">
        <v>-21.954982965037555</v>
      </c>
      <c r="J115" s="574">
        <v>-24.613400791622016</v>
      </c>
      <c r="K115" s="574">
        <v>-22.718845544097235</v>
      </c>
      <c r="L115" s="574">
        <v>-24.639890204132346</v>
      </c>
    </row>
    <row r="116" spans="2:12" ht="12.75">
      <c r="B116" s="77" t="s">
        <v>641</v>
      </c>
      <c r="E116" s="574">
        <v>-73.7</v>
      </c>
      <c r="F116" s="574">
        <v>-73.7</v>
      </c>
      <c r="G116" s="574">
        <v>-73.7</v>
      </c>
      <c r="H116" s="574">
        <v>-73.7</v>
      </c>
      <c r="I116" s="574">
        <v>-73.7</v>
      </c>
      <c r="J116" s="574">
        <v>-73.7</v>
      </c>
      <c r="K116" s="574">
        <v>-73.7</v>
      </c>
      <c r="L116" s="574">
        <v>-73.7</v>
      </c>
    </row>
    <row r="117" ht="12.75"/>
    <row r="118" spans="2:12" ht="12.75">
      <c r="B118" s="77" t="s">
        <v>650</v>
      </c>
      <c r="E118" s="574">
        <v>-643.3</v>
      </c>
      <c r="F118" s="574">
        <v>-707.7995374240636</v>
      </c>
      <c r="G118" s="574">
        <v>-783.2873472721924</v>
      </c>
      <c r="H118" s="574">
        <v>-853.9422788553696</v>
      </c>
      <c r="I118" s="574">
        <v>-914.4557915219906</v>
      </c>
      <c r="J118" s="574">
        <v>-990.3525914079743</v>
      </c>
      <c r="K118" s="574">
        <v>-1047.1651111254796</v>
      </c>
      <c r="L118" s="574">
        <v>-1114.525545789078</v>
      </c>
    </row>
    <row r="119" spans="2:12" ht="12.75">
      <c r="B119" s="77" t="s">
        <v>651</v>
      </c>
      <c r="E119" s="574">
        <v>-10</v>
      </c>
      <c r="F119" s="574">
        <v>-10</v>
      </c>
      <c r="G119" s="574">
        <v>-10</v>
      </c>
      <c r="H119" s="574">
        <v>-10</v>
      </c>
      <c r="I119" s="574">
        <v>-10</v>
      </c>
      <c r="J119" s="574">
        <v>-10</v>
      </c>
      <c r="K119" s="574">
        <v>-10</v>
      </c>
      <c r="L119" s="574">
        <v>-10</v>
      </c>
    </row>
    <row r="120" spans="2:12" ht="12.75">
      <c r="B120" s="77" t="s">
        <v>642</v>
      </c>
      <c r="E120" s="574">
        <v>-12.6</v>
      </c>
      <c r="F120" s="574">
        <v>-25.48810363847295</v>
      </c>
      <c r="G120" s="574">
        <v>-38.00990238527406</v>
      </c>
      <c r="H120" s="574">
        <v>-50.13690688646493</v>
      </c>
      <c r="I120" s="574">
        <v>-61.84210223216115</v>
      </c>
      <c r="J120" s="574">
        <v>-73.12807259958649</v>
      </c>
      <c r="K120" s="574">
        <v>-83.99177359120237</v>
      </c>
      <c r="L120" s="574">
        <v>-94.42169869607557</v>
      </c>
    </row>
    <row r="121" spans="2:12" ht="12.75">
      <c r="B121" s="77" t="s">
        <v>788</v>
      </c>
      <c r="E121" s="574">
        <v>-113.6</v>
      </c>
      <c r="F121" s="574">
        <v>-144.9018602514799</v>
      </c>
      <c r="G121" s="574">
        <v>-146.9195260997065</v>
      </c>
      <c r="H121" s="574">
        <v>-149.48080018829978</v>
      </c>
      <c r="I121" s="574">
        <v>-151.99903461921375</v>
      </c>
      <c r="J121" s="574">
        <v>-155.13134720113456</v>
      </c>
      <c r="K121" s="574">
        <v>-157.7321050572396</v>
      </c>
      <c r="L121" s="574">
        <v>-160.4652937440266</v>
      </c>
    </row>
    <row r="122" spans="2:12" ht="12.75">
      <c r="B122" s="77" t="s">
        <v>69</v>
      </c>
      <c r="E122" s="574" t="s">
        <v>21</v>
      </c>
      <c r="F122" s="574" t="s">
        <v>21</v>
      </c>
      <c r="G122" s="574" t="s">
        <v>21</v>
      </c>
      <c r="H122" s="574" t="s">
        <v>21</v>
      </c>
      <c r="I122" s="574" t="s">
        <v>21</v>
      </c>
      <c r="J122" s="574" t="s">
        <v>21</v>
      </c>
      <c r="K122" s="574" t="s">
        <v>21</v>
      </c>
      <c r="L122" s="574" t="s">
        <v>21</v>
      </c>
    </row>
    <row r="123" spans="2:12" ht="12.75">
      <c r="B123" s="77" t="s">
        <v>344</v>
      </c>
      <c r="E123" s="574">
        <v>-16.2</v>
      </c>
      <c r="F123" s="574">
        <v>-30.942</v>
      </c>
      <c r="G123" s="574">
        <v>-27.159</v>
      </c>
      <c r="H123" s="574">
        <v>-23.375999999999998</v>
      </c>
      <c r="I123" s="574">
        <v>-19.592999999999996</v>
      </c>
      <c r="J123" s="574">
        <v>-15.81</v>
      </c>
      <c r="K123" s="574">
        <v>-12.026999999999997</v>
      </c>
      <c r="L123" s="574">
        <v>-8.243999999999998</v>
      </c>
    </row>
    <row r="124" spans="2:12" ht="12.75">
      <c r="B124" s="77" t="s">
        <v>643</v>
      </c>
      <c r="E124" s="574">
        <v>-12.5</v>
      </c>
      <c r="F124" s="574">
        <v>-12.5</v>
      </c>
      <c r="G124" s="574">
        <v>-12.5</v>
      </c>
      <c r="H124" s="574">
        <v>-12</v>
      </c>
      <c r="I124" s="574">
        <v>-11.5</v>
      </c>
      <c r="J124" s="574">
        <v>-11</v>
      </c>
      <c r="K124" s="574">
        <v>-10.5</v>
      </c>
      <c r="L124" s="574">
        <v>-10</v>
      </c>
    </row>
    <row r="125" spans="2:12" ht="12.75">
      <c r="B125" s="77" t="s">
        <v>653</v>
      </c>
      <c r="E125" s="574" t="s">
        <v>21</v>
      </c>
      <c r="F125" s="574" t="s">
        <v>21</v>
      </c>
      <c r="G125" s="574" t="s">
        <v>21</v>
      </c>
      <c r="H125" s="574" t="s">
        <v>21</v>
      </c>
      <c r="I125" s="574" t="s">
        <v>21</v>
      </c>
      <c r="J125" s="574" t="s">
        <v>21</v>
      </c>
      <c r="K125" s="574" t="s">
        <v>21</v>
      </c>
      <c r="L125" s="574" t="s">
        <v>21</v>
      </c>
    </row>
    <row r="126" spans="2:12" ht="12.75">
      <c r="B126" s="77" t="s">
        <v>117</v>
      </c>
      <c r="E126" s="574">
        <v>-62.9</v>
      </c>
      <c r="F126" s="574">
        <v>-54.51815497837838</v>
      </c>
      <c r="G126" s="574">
        <v>-46.136309956756755</v>
      </c>
      <c r="H126" s="574">
        <v>-40.50446493513513</v>
      </c>
      <c r="I126" s="574">
        <v>-34.84261991351351</v>
      </c>
      <c r="J126" s="574">
        <v>-29.24077489189189</v>
      </c>
      <c r="K126" s="574">
        <v>-23.608929870270266</v>
      </c>
      <c r="L126" s="574">
        <v>-17.977084848648644</v>
      </c>
    </row>
    <row r="127" ht="12.75"/>
    <row r="128" spans="2:12" ht="12.75">
      <c r="B128" s="77" t="s">
        <v>654</v>
      </c>
      <c r="E128" s="574">
        <v>49.3</v>
      </c>
      <c r="F128" s="574">
        <v>49.3</v>
      </c>
      <c r="G128" s="574">
        <v>49.3</v>
      </c>
      <c r="H128" s="574">
        <v>49.3</v>
      </c>
      <c r="I128" s="574">
        <v>49.3</v>
      </c>
      <c r="J128" s="574">
        <v>49.3</v>
      </c>
      <c r="K128" s="574">
        <v>49.3</v>
      </c>
      <c r="L128" s="574">
        <v>49.3</v>
      </c>
    </row>
    <row r="129" spans="2:12" ht="12.75">
      <c r="B129" s="77" t="s">
        <v>96</v>
      </c>
      <c r="E129" s="574">
        <v>134.6</v>
      </c>
      <c r="F129" s="574">
        <v>37.462667021650844</v>
      </c>
      <c r="G129" s="574">
        <v>18.077988522146512</v>
      </c>
      <c r="H129" s="574">
        <v>-4.4477008194559176</v>
      </c>
      <c r="I129" s="574">
        <v>-35.258294815346154</v>
      </c>
      <c r="J129" s="574">
        <v>-69.02649959418949</v>
      </c>
      <c r="K129" s="574">
        <v>-107.67870095221382</v>
      </c>
      <c r="L129" s="574">
        <v>-148.9229303470927</v>
      </c>
    </row>
    <row r="130" spans="2:12" ht="12.75">
      <c r="B130" s="77" t="s">
        <v>645</v>
      </c>
      <c r="E130" s="574" t="s">
        <v>21</v>
      </c>
      <c r="F130" s="574" t="s">
        <v>21</v>
      </c>
      <c r="G130" s="574" t="s">
        <v>21</v>
      </c>
      <c r="H130" s="574" t="s">
        <v>21</v>
      </c>
      <c r="I130" s="574" t="s">
        <v>21</v>
      </c>
      <c r="J130" s="574" t="s">
        <v>21</v>
      </c>
      <c r="K130" s="574" t="s">
        <v>21</v>
      </c>
      <c r="L130" s="574" t="s">
        <v>21</v>
      </c>
    </row>
    <row r="131" spans="5:7" ht="12.75">
      <c r="E131" s="592"/>
      <c r="F131" s="592"/>
      <c r="G131" s="592"/>
    </row>
    <row r="132" spans="2:5" ht="12.75">
      <c r="B132" s="77" t="s">
        <v>655</v>
      </c>
      <c r="C132" s="594"/>
      <c r="D132" s="522"/>
      <c r="E132" s="595">
        <v>2</v>
      </c>
    </row>
    <row r="133" spans="2:5" ht="12.75">
      <c r="B133" s="77" t="s">
        <v>347</v>
      </c>
      <c r="E133" s="361"/>
    </row>
    <row r="134" spans="2:5" ht="12.75">
      <c r="B134" s="77" t="s">
        <v>349</v>
      </c>
      <c r="E134" s="361"/>
    </row>
    <row r="135" spans="2:7" ht="12.75">
      <c r="B135" s="77" t="s">
        <v>368</v>
      </c>
      <c r="F135" s="590">
        <v>0</v>
      </c>
      <c r="G135" s="590">
        <v>0</v>
      </c>
    </row>
    <row r="136" spans="2:7" ht="12.75">
      <c r="B136" s="77" t="s">
        <v>499</v>
      </c>
      <c r="F136" s="590">
        <v>0</v>
      </c>
      <c r="G136" s="590">
        <v>0</v>
      </c>
    </row>
    <row r="137" spans="6:7" ht="12.75">
      <c r="F137" s="592"/>
      <c r="G137" s="592"/>
    </row>
    <row r="138" spans="2:7" ht="12.75">
      <c r="B138" s="77" t="s">
        <v>745</v>
      </c>
      <c r="F138" s="592"/>
      <c r="G138" s="592"/>
    </row>
    <row r="139" spans="2:7" ht="12.75">
      <c r="B139" s="77" t="s">
        <v>746</v>
      </c>
      <c r="F139" s="592"/>
      <c r="G139" s="590">
        <v>0</v>
      </c>
    </row>
    <row r="140" spans="2:7" ht="14.25">
      <c r="B140" s="77" t="s">
        <v>747</v>
      </c>
      <c r="E140" s="63"/>
      <c r="G140" s="564">
        <v>1</v>
      </c>
    </row>
    <row r="143" ht="14.25">
      <c r="B143" s="216" t="s">
        <v>166</v>
      </c>
    </row>
    <row r="145" ht="12.75">
      <c r="B145" s="77" t="s">
        <v>196</v>
      </c>
    </row>
    <row r="146" spans="2:6" ht="12.75">
      <c r="B146" s="77" t="s">
        <v>197</v>
      </c>
      <c r="E146" s="596">
        <v>19.006520857608727</v>
      </c>
      <c r="F146" s="596">
        <v>10.47970733847408</v>
      </c>
    </row>
    <row r="147" spans="2:6" ht="12.75">
      <c r="B147" s="77" t="s">
        <v>148</v>
      </c>
      <c r="E147" s="596">
        <v>53.94414602758771</v>
      </c>
      <c r="F147" s="596">
        <v>34.21227609154304</v>
      </c>
    </row>
    <row r="148" spans="2:6" ht="12.75">
      <c r="B148" s="77" t="s">
        <v>198</v>
      </c>
      <c r="E148" s="596">
        <v>34.937625169978986</v>
      </c>
      <c r="F148" s="596">
        <v>23.73256875306896</v>
      </c>
    </row>
    <row r="149" spans="5:6" ht="12.75">
      <c r="E149" s="131"/>
      <c r="F149" s="131"/>
    </row>
    <row r="150" spans="2:6" ht="12.75">
      <c r="B150" s="77" t="s">
        <v>199</v>
      </c>
      <c r="E150" s="131"/>
      <c r="F150" s="131"/>
    </row>
    <row r="151" spans="2:6" ht="12.75">
      <c r="B151" s="77" t="s">
        <v>197</v>
      </c>
      <c r="E151" s="596">
        <v>9.321115438536534</v>
      </c>
      <c r="F151" s="596">
        <v>8.163645186958188</v>
      </c>
    </row>
    <row r="152" spans="2:6" ht="12.75">
      <c r="B152" s="77" t="s">
        <v>148</v>
      </c>
      <c r="E152" s="596">
        <v>18.717000000000006</v>
      </c>
      <c r="F152" s="596">
        <v>23.413335294829267</v>
      </c>
    </row>
    <row r="153" spans="2:6" ht="12.75">
      <c r="B153" s="77" t="s">
        <v>303</v>
      </c>
      <c r="E153" s="597">
        <v>0</v>
      </c>
      <c r="F153" s="597">
        <v>0</v>
      </c>
    </row>
    <row r="154" spans="2:6" ht="12.75">
      <c r="B154" s="77" t="s">
        <v>304</v>
      </c>
      <c r="E154" s="596">
        <v>18.717000000000006</v>
      </c>
      <c r="F154" s="596">
        <v>23.413335294829267</v>
      </c>
    </row>
    <row r="155" spans="2:6" ht="12.75">
      <c r="B155" s="77" t="s">
        <v>198</v>
      </c>
      <c r="E155" s="596">
        <v>9.395884561463472</v>
      </c>
      <c r="F155" s="596">
        <v>15.249690107871078</v>
      </c>
    </row>
    <row r="156" spans="5:6" ht="12.75">
      <c r="E156" s="131"/>
      <c r="F156" s="131"/>
    </row>
    <row r="157" spans="2:6" ht="12.75">
      <c r="B157" s="77" t="s">
        <v>200</v>
      </c>
      <c r="E157" s="131"/>
      <c r="F157" s="131"/>
    </row>
    <row r="158" spans="2:6" ht="12.75">
      <c r="B158" s="77" t="s">
        <v>201</v>
      </c>
      <c r="E158" s="596">
        <v>23.667078576876996</v>
      </c>
      <c r="F158" s="596">
        <v>14.561529931953174</v>
      </c>
    </row>
    <row r="159" spans="2:6" ht="12.75">
      <c r="B159" s="77" t="s">
        <v>202</v>
      </c>
      <c r="E159" s="596">
        <v>68.00058830831945</v>
      </c>
      <c r="F159" s="596">
        <v>53.54378879289321</v>
      </c>
    </row>
    <row r="160" spans="2:6" ht="12.75">
      <c r="B160" s="77" t="s">
        <v>205</v>
      </c>
      <c r="E160" s="596">
        <v>44.333509731442454</v>
      </c>
      <c r="F160" s="596">
        <v>38.982258860940036</v>
      </c>
    </row>
    <row r="161" spans="5:6" ht="12.75">
      <c r="E161" s="131"/>
      <c r="F161" s="131"/>
    </row>
    <row r="162" spans="2:7" ht="14.25">
      <c r="B162" s="77" t="s">
        <v>541</v>
      </c>
      <c r="D162" s="360"/>
      <c r="E162" s="579">
        <v>0</v>
      </c>
      <c r="F162" s="579">
        <v>0</v>
      </c>
      <c r="G162" s="63" t="s">
        <v>167</v>
      </c>
    </row>
    <row r="163" spans="2:7" ht="14.25">
      <c r="B163" s="77" t="s">
        <v>542</v>
      </c>
      <c r="D163" s="360"/>
      <c r="E163" s="579">
        <v>40.13558232291958</v>
      </c>
      <c r="F163" s="579">
        <v>32.32327808398753</v>
      </c>
      <c r="G163" s="63" t="s">
        <v>167</v>
      </c>
    </row>
    <row r="164" spans="2:7" ht="14.25">
      <c r="B164" s="77" t="s">
        <v>543</v>
      </c>
      <c r="D164" s="360"/>
      <c r="E164" s="579">
        <v>1.0722589680897505</v>
      </c>
      <c r="F164" s="579">
        <v>1.4541335812401759</v>
      </c>
      <c r="G164" s="63" t="s">
        <v>167</v>
      </c>
    </row>
    <row r="165" spans="2:7" ht="14.25">
      <c r="B165" s="77" t="s">
        <v>336</v>
      </c>
      <c r="D165" s="360"/>
      <c r="E165" s="579">
        <v>0</v>
      </c>
      <c r="F165" s="579">
        <v>0</v>
      </c>
      <c r="G165" s="63" t="s">
        <v>167</v>
      </c>
    </row>
    <row r="166" spans="5:6" ht="12.75">
      <c r="E166" s="131"/>
      <c r="F166" s="131"/>
    </row>
    <row r="167" ht="12.75">
      <c r="B167" s="77" t="s">
        <v>210</v>
      </c>
    </row>
    <row r="168" spans="2:7" ht="12.75">
      <c r="B168" s="77" t="s">
        <v>211</v>
      </c>
      <c r="G168" s="596">
        <v>64.99368960193313</v>
      </c>
    </row>
    <row r="169" spans="2:7" ht="12.75">
      <c r="B169" s="77" t="s">
        <v>212</v>
      </c>
      <c r="G169" s="596">
        <v>-3.2282044947402824</v>
      </c>
    </row>
    <row r="170" spans="2:7" ht="12.75">
      <c r="B170" s="77" t="s">
        <v>215</v>
      </c>
      <c r="G170" s="596">
        <v>61.765485107192845</v>
      </c>
    </row>
    <row r="171" spans="2:7" ht="12.75">
      <c r="B171" s="77" t="s">
        <v>217</v>
      </c>
      <c r="G171" s="596">
        <v>25.572314969363433</v>
      </c>
    </row>
    <row r="172" spans="2:7" ht="12.75">
      <c r="B172" s="77" t="s">
        <v>218</v>
      </c>
      <c r="G172" s="596">
        <v>-2.653721743886397</v>
      </c>
    </row>
    <row r="173" spans="2:7" ht="12.75">
      <c r="B173" s="77" t="s">
        <v>224</v>
      </c>
      <c r="G173" s="596">
        <v>22.918593225477036</v>
      </c>
    </row>
    <row r="174" spans="2:7" ht="12.75">
      <c r="B174" s="77" t="s">
        <v>213</v>
      </c>
      <c r="G174" s="596">
        <v>33.9478631999224</v>
      </c>
    </row>
    <row r="175" spans="2:7" ht="12.75">
      <c r="B175" s="77" t="s">
        <v>214</v>
      </c>
      <c r="G175" s="596">
        <v>-2.3763504239945625</v>
      </c>
    </row>
    <row r="176" spans="2:7" ht="12.75">
      <c r="B176" s="77" t="s">
        <v>216</v>
      </c>
      <c r="G176" s="596">
        <v>31.57151277592784</v>
      </c>
    </row>
    <row r="179" spans="1:2" ht="14.25">
      <c r="A179" s="216"/>
      <c r="B179" s="216" t="s">
        <v>168</v>
      </c>
    </row>
    <row r="180" spans="1:4" ht="14.25">
      <c r="A180" s="216"/>
      <c r="B180" s="259" t="s">
        <v>408</v>
      </c>
      <c r="C180" s="63"/>
      <c r="D180" s="63"/>
    </row>
    <row r="181" spans="1:7" ht="14.25">
      <c r="A181" s="71"/>
      <c r="B181" s="63" t="s">
        <v>434</v>
      </c>
      <c r="C181" s="63"/>
      <c r="D181" s="63" t="s">
        <v>236</v>
      </c>
      <c r="G181" s="131">
        <v>0.4835635070129482</v>
      </c>
    </row>
    <row r="182" spans="1:7" ht="14.25">
      <c r="A182" s="71"/>
      <c r="B182" s="63" t="s">
        <v>235</v>
      </c>
      <c r="C182" s="63"/>
      <c r="D182" s="63" t="s">
        <v>237</v>
      </c>
      <c r="G182" s="131">
        <v>1.3383146768215302</v>
      </c>
    </row>
    <row r="184" spans="2:7" ht="14.25">
      <c r="B184" s="77" t="s">
        <v>598</v>
      </c>
      <c r="C184" s="63"/>
      <c r="D184" s="63" t="s">
        <v>238</v>
      </c>
      <c r="G184" s="569">
        <v>-6.341138236794745</v>
      </c>
    </row>
    <row r="185" spans="2:7" ht="14.25">
      <c r="B185" s="77" t="s">
        <v>669</v>
      </c>
      <c r="C185" s="63"/>
      <c r="D185" s="63" t="s">
        <v>240</v>
      </c>
      <c r="G185" s="569">
        <v>-6.98071185865665</v>
      </c>
    </row>
    <row r="186" spans="2:7" ht="14.25">
      <c r="B186" s="63" t="s">
        <v>307</v>
      </c>
      <c r="C186" s="63"/>
      <c r="D186" s="63" t="s">
        <v>239</v>
      </c>
      <c r="G186" s="557">
        <v>-71.55890583555238</v>
      </c>
    </row>
    <row r="187" spans="1:4" ht="14.25">
      <c r="A187" s="216"/>
      <c r="B187" s="63"/>
      <c r="C187" s="63"/>
      <c r="D187" s="63"/>
    </row>
    <row r="188" spans="1:7" ht="14.25">
      <c r="A188" s="71"/>
      <c r="B188" s="77" t="s">
        <v>729</v>
      </c>
      <c r="C188" s="63"/>
      <c r="D188" s="63" t="s">
        <v>730</v>
      </c>
      <c r="G188" s="131">
        <v>0</v>
      </c>
    </row>
    <row r="189" spans="1:7" ht="14.25">
      <c r="A189" s="71"/>
      <c r="B189" s="77" t="s">
        <v>731</v>
      </c>
      <c r="C189" s="63"/>
      <c r="D189" s="132" t="s">
        <v>452</v>
      </c>
      <c r="G189" s="131">
        <v>0</v>
      </c>
    </row>
    <row r="190" spans="1:7" s="63" customFormat="1" ht="14.25">
      <c r="A190" s="71"/>
      <c r="B190" s="77" t="s">
        <v>109</v>
      </c>
      <c r="D190" s="132" t="s">
        <v>452</v>
      </c>
      <c r="G190" s="401">
        <v>-13.577573910398922</v>
      </c>
    </row>
    <row r="191" spans="1:7" ht="14.25">
      <c r="A191" s="71"/>
      <c r="B191" s="77" t="s">
        <v>409</v>
      </c>
      <c r="C191" s="63"/>
      <c r="D191" s="63"/>
      <c r="E191" s="63"/>
      <c r="F191" s="63"/>
      <c r="G191" s="63">
        <v>6.913533374151308</v>
      </c>
    </row>
    <row r="193" spans="1:2" s="63" customFormat="1" ht="14.25">
      <c r="A193" s="71"/>
      <c r="B193" s="259" t="s">
        <v>412</v>
      </c>
    </row>
    <row r="194" spans="1:6" s="63" customFormat="1" ht="14.25">
      <c r="A194" s="71"/>
      <c r="B194" s="98" t="s">
        <v>696</v>
      </c>
      <c r="E194" s="563">
        <v>1.4209217817814224</v>
      </c>
      <c r="F194" s="563">
        <v>1.3777062114634042</v>
      </c>
    </row>
    <row r="195" spans="1:2" s="63" customFormat="1" ht="14.25">
      <c r="A195" s="71"/>
      <c r="B195" s="69"/>
    </row>
    <row r="196" spans="1:4" s="63" customFormat="1" ht="14.25">
      <c r="A196" s="71"/>
      <c r="B196" s="63" t="s">
        <v>693</v>
      </c>
      <c r="D196" s="563">
        <v>759.395176734577</v>
      </c>
    </row>
    <row r="197" spans="1:4" s="63" customFormat="1" ht="14.25">
      <c r="A197" s="71"/>
      <c r="B197" s="63" t="s">
        <v>694</v>
      </c>
      <c r="D197" s="563">
        <v>6.555867479695313</v>
      </c>
    </row>
    <row r="198" s="63" customFormat="1" ht="14.25">
      <c r="A198" s="71"/>
    </row>
    <row r="199" spans="2:11" ht="14.25">
      <c r="B199" s="63" t="s">
        <v>241</v>
      </c>
      <c r="C199" s="63"/>
      <c r="D199" s="63" t="s">
        <v>242</v>
      </c>
      <c r="E199" s="563">
        <v>802.639219096685</v>
      </c>
      <c r="G199" s="172"/>
      <c r="H199" s="70"/>
      <c r="I199" s="70"/>
      <c r="J199" s="70"/>
      <c r="K199" s="70"/>
    </row>
    <row r="200" spans="2:11" ht="14.25">
      <c r="B200" s="63" t="s">
        <v>243</v>
      </c>
      <c r="C200" s="63"/>
      <c r="D200" s="63" t="s">
        <v>248</v>
      </c>
      <c r="E200" s="563">
        <v>810.5172589758322</v>
      </c>
      <c r="G200" s="172"/>
      <c r="H200" s="70"/>
      <c r="I200" s="70"/>
      <c r="J200" s="70"/>
      <c r="K200" s="70"/>
    </row>
    <row r="201" spans="2:11" ht="14.25">
      <c r="B201" s="63" t="s">
        <v>249</v>
      </c>
      <c r="C201" s="63"/>
      <c r="D201" s="63" t="s">
        <v>250</v>
      </c>
      <c r="E201" s="563">
        <v>759.395176734577</v>
      </c>
      <c r="G201" s="172"/>
      <c r="H201" s="70"/>
      <c r="I201" s="70"/>
      <c r="J201" s="70"/>
      <c r="K201" s="70"/>
    </row>
    <row r="202" spans="2:11" ht="14.25">
      <c r="B202" s="63" t="s">
        <v>251</v>
      </c>
      <c r="C202" s="63"/>
      <c r="D202" s="63" t="s">
        <v>252</v>
      </c>
      <c r="E202" s="563">
        <v>-78.5088998503792</v>
      </c>
      <c r="G202" s="172"/>
      <c r="H202" s="70"/>
      <c r="I202" s="70"/>
      <c r="J202" s="70"/>
      <c r="K202" s="70"/>
    </row>
    <row r="203" spans="2:11" ht="14.25">
      <c r="B203" s="63" t="s">
        <v>253</v>
      </c>
      <c r="C203" s="63"/>
      <c r="D203" s="63" t="s">
        <v>254</v>
      </c>
      <c r="E203" s="563">
        <v>124.95497450711542</v>
      </c>
      <c r="G203" s="172"/>
      <c r="H203" s="70"/>
      <c r="I203" s="70"/>
      <c r="J203" s="70"/>
      <c r="K203" s="70"/>
    </row>
    <row r="204" spans="2:11" ht="14.25">
      <c r="B204" s="63" t="s">
        <v>255</v>
      </c>
      <c r="C204" s="63"/>
      <c r="D204" s="63" t="s">
        <v>256</v>
      </c>
      <c r="E204" s="563">
        <v>-3.2020322946283457</v>
      </c>
      <c r="G204" s="172"/>
      <c r="H204" s="70"/>
      <c r="I204" s="70"/>
      <c r="J204" s="70"/>
      <c r="K204" s="70"/>
    </row>
    <row r="205" spans="2:11" ht="14.25">
      <c r="B205" s="63" t="s">
        <v>257</v>
      </c>
      <c r="C205" s="63"/>
      <c r="D205" s="63" t="s">
        <v>260</v>
      </c>
      <c r="E205" s="563">
        <v>884.3501512416925</v>
      </c>
      <c r="G205" s="172"/>
      <c r="H205" s="70"/>
      <c r="I205" s="70"/>
      <c r="J205" s="70"/>
      <c r="K205" s="70"/>
    </row>
    <row r="206" spans="2:11" ht="14.25">
      <c r="B206" s="63" t="s">
        <v>261</v>
      </c>
      <c r="C206" s="63"/>
      <c r="D206" s="63" t="s">
        <v>262</v>
      </c>
      <c r="E206" s="563">
        <v>-109.70571961124708</v>
      </c>
      <c r="G206" s="172"/>
      <c r="H206" s="70"/>
      <c r="I206" s="70"/>
      <c r="J206" s="70"/>
      <c r="K206" s="70"/>
    </row>
    <row r="207" spans="2:11" ht="14.25">
      <c r="B207" s="63" t="s">
        <v>263</v>
      </c>
      <c r="C207" s="63"/>
      <c r="D207" s="63" t="s">
        <v>264</v>
      </c>
      <c r="E207" s="563">
        <v>36.66605083614691</v>
      </c>
      <c r="G207" s="172"/>
      <c r="H207" s="70"/>
      <c r="I207" s="70"/>
      <c r="J207" s="70"/>
      <c r="K207" s="70"/>
    </row>
    <row r="208" spans="2:11" ht="14.25">
      <c r="B208" s="63" t="s">
        <v>265</v>
      </c>
      <c r="C208" s="63"/>
      <c r="D208" s="63" t="s">
        <v>266</v>
      </c>
      <c r="E208" s="563">
        <v>24.573059011177662</v>
      </c>
      <c r="G208" s="172"/>
      <c r="H208" s="70"/>
      <c r="I208" s="70"/>
      <c r="J208" s="70"/>
      <c r="K208" s="70"/>
    </row>
    <row r="209" spans="2:11" ht="14.25">
      <c r="B209" s="63" t="s">
        <v>267</v>
      </c>
      <c r="C209" s="63"/>
      <c r="D209" s="63" t="s">
        <v>268</v>
      </c>
      <c r="E209" s="63"/>
      <c r="G209" s="563">
        <v>-0.5636383408351198</v>
      </c>
      <c r="H209" s="563">
        <v>5.048257676271868</v>
      </c>
      <c r="I209" s="563">
        <v>-29.05767834661441</v>
      </c>
      <c r="J209" s="563">
        <v>-41.61290699514447</v>
      </c>
      <c r="K209" s="563">
        <v>-34.1024114558077</v>
      </c>
    </row>
    <row r="210" spans="2:11" ht="14.25">
      <c r="B210" s="63" t="s">
        <v>269</v>
      </c>
      <c r="C210" s="63"/>
      <c r="D210" s="63" t="s">
        <v>270</v>
      </c>
      <c r="E210" s="563">
        <v>0.08713291099114731</v>
      </c>
      <c r="G210" s="172"/>
      <c r="H210" s="70"/>
      <c r="I210" s="70"/>
      <c r="J210" s="70"/>
      <c r="K210" s="70"/>
    </row>
    <row r="211" spans="2:11" ht="14.25">
      <c r="B211" s="63" t="s">
        <v>271</v>
      </c>
      <c r="C211" s="63"/>
      <c r="D211" s="63" t="s">
        <v>272</v>
      </c>
      <c r="E211" s="563">
        <v>8.601318072062483</v>
      </c>
      <c r="G211" s="172"/>
      <c r="H211" s="70"/>
      <c r="I211" s="70"/>
      <c r="J211" s="70"/>
      <c r="K211" s="70"/>
    </row>
    <row r="212" spans="2:11" ht="14.25">
      <c r="B212" s="63" t="s">
        <v>273</v>
      </c>
      <c r="C212" s="63"/>
      <c r="D212" s="63" t="s">
        <v>274</v>
      </c>
      <c r="E212" s="563">
        <v>-0.7232781929152049</v>
      </c>
      <c r="G212" s="172"/>
      <c r="H212" s="70"/>
      <c r="I212" s="70"/>
      <c r="J212" s="70"/>
      <c r="K212" s="70"/>
    </row>
    <row r="213" spans="2:11" ht="14.25">
      <c r="B213" s="63" t="s">
        <v>275</v>
      </c>
      <c r="C213" s="63"/>
      <c r="D213" s="63" t="s">
        <v>282</v>
      </c>
      <c r="E213" s="563">
        <v>-0.2631618363198458</v>
      </c>
      <c r="G213" s="172"/>
      <c r="H213" s="70"/>
      <c r="I213" s="70"/>
      <c r="J213" s="70"/>
      <c r="K213" s="70"/>
    </row>
    <row r="214" spans="2:11" ht="14.25">
      <c r="B214" s="63" t="s">
        <v>576</v>
      </c>
      <c r="C214" s="63"/>
      <c r="D214" s="63" t="s">
        <v>283</v>
      </c>
      <c r="E214" s="63"/>
      <c r="G214" s="563">
        <v>2.498016723686793</v>
      </c>
      <c r="H214" s="70"/>
      <c r="I214" s="70"/>
      <c r="J214" s="70"/>
      <c r="K214" s="70"/>
    </row>
    <row r="215" spans="2:5" ht="14.25">
      <c r="B215" s="63"/>
      <c r="C215" s="63"/>
      <c r="D215" s="63"/>
      <c r="E215" s="63"/>
    </row>
    <row r="216" spans="2:5" ht="14.25">
      <c r="B216" s="259" t="s">
        <v>413</v>
      </c>
      <c r="E216" s="63"/>
    </row>
    <row r="217" spans="2:11" ht="14.25">
      <c r="B217" s="63" t="s">
        <v>241</v>
      </c>
      <c r="C217" s="63"/>
      <c r="D217" s="77" t="s">
        <v>284</v>
      </c>
      <c r="E217" s="563">
        <v>791.791058142605</v>
      </c>
      <c r="G217" s="172"/>
      <c r="H217" s="70"/>
      <c r="I217" s="70"/>
      <c r="J217" s="70"/>
      <c r="K217" s="70"/>
    </row>
    <row r="218" spans="2:11" ht="14.25">
      <c r="B218" s="63" t="s">
        <v>243</v>
      </c>
      <c r="C218" s="63"/>
      <c r="D218" s="77" t="s">
        <v>285</v>
      </c>
      <c r="E218" s="563">
        <v>799.5626214846255</v>
      </c>
      <c r="G218" s="172"/>
      <c r="H218" s="70"/>
      <c r="I218" s="70"/>
      <c r="J218" s="70"/>
      <c r="K218" s="70"/>
    </row>
    <row r="219" spans="2:11" ht="14.25">
      <c r="B219" s="63" t="s">
        <v>286</v>
      </c>
      <c r="C219" s="63"/>
      <c r="D219" s="77" t="s">
        <v>287</v>
      </c>
      <c r="E219" s="563">
        <v>823.8895157996437</v>
      </c>
      <c r="G219" s="172"/>
      <c r="H219" s="70"/>
      <c r="I219" s="70"/>
      <c r="J219" s="70"/>
      <c r="K219" s="70"/>
    </row>
    <row r="220" spans="2:11" ht="14.25">
      <c r="B220" s="63" t="s">
        <v>249</v>
      </c>
      <c r="C220" s="63"/>
      <c r="D220" s="77" t="s">
        <v>288</v>
      </c>
      <c r="E220" s="563">
        <v>749.1314855157003</v>
      </c>
      <c r="G220" s="172"/>
      <c r="H220" s="70"/>
      <c r="I220" s="70"/>
      <c r="J220" s="70"/>
      <c r="K220" s="70"/>
    </row>
    <row r="221" spans="2:11" ht="14.25">
      <c r="B221" s="63" t="s">
        <v>251</v>
      </c>
      <c r="C221" s="63"/>
      <c r="D221" s="77" t="s">
        <v>289</v>
      </c>
      <c r="E221" s="563">
        <v>-77.44780395369082</v>
      </c>
      <c r="G221" s="172"/>
      <c r="H221" s="70"/>
      <c r="I221" s="70"/>
      <c r="J221" s="70"/>
      <c r="K221" s="70"/>
    </row>
    <row r="222" spans="2:11" ht="14.25">
      <c r="B222" s="63" t="s">
        <v>253</v>
      </c>
      <c r="C222" s="63"/>
      <c r="D222" s="77" t="s">
        <v>290</v>
      </c>
      <c r="E222" s="563">
        <v>123.26613144635434</v>
      </c>
      <c r="G222" s="172"/>
      <c r="H222" s="70"/>
      <c r="I222" s="70"/>
      <c r="J222" s="70"/>
      <c r="K222" s="70"/>
    </row>
    <row r="223" spans="2:11" ht="14.25">
      <c r="B223" s="63" t="s">
        <v>255</v>
      </c>
      <c r="C223" s="63"/>
      <c r="D223" s="77" t="s">
        <v>291</v>
      </c>
      <c r="E223" s="563">
        <v>-3.158754865758893</v>
      </c>
      <c r="G223" s="172"/>
      <c r="H223" s="70"/>
      <c r="I223" s="70"/>
      <c r="J223" s="70"/>
      <c r="K223" s="70"/>
    </row>
    <row r="224" spans="2:11" ht="14.25">
      <c r="B224" s="63" t="s">
        <v>265</v>
      </c>
      <c r="C224" s="63"/>
      <c r="D224" s="77" t="s">
        <v>292</v>
      </c>
      <c r="E224" s="563">
        <v>24.24093905871961</v>
      </c>
      <c r="G224" s="172"/>
      <c r="H224" s="70"/>
      <c r="I224" s="70"/>
      <c r="J224" s="70"/>
      <c r="K224" s="70"/>
    </row>
    <row r="225" spans="2:11" ht="14.25">
      <c r="B225" s="121" t="s">
        <v>293</v>
      </c>
      <c r="C225" s="63"/>
      <c r="D225" s="77" t="s">
        <v>294</v>
      </c>
      <c r="E225" s="63"/>
      <c r="G225" s="563">
        <v>-0.59796822385573</v>
      </c>
      <c r="H225" s="563">
        <v>5.489628533019959</v>
      </c>
      <c r="I225" s="563">
        <v>-32.38815590322842</v>
      </c>
      <c r="J225" s="563">
        <v>-47.54197619817323</v>
      </c>
      <c r="K225" s="563">
        <v>-39.935408376289004</v>
      </c>
    </row>
    <row r="226" spans="2:11" ht="14.25">
      <c r="B226" s="63" t="s">
        <v>269</v>
      </c>
      <c r="C226" s="63"/>
      <c r="D226" s="77" t="s">
        <v>295</v>
      </c>
      <c r="E226" s="563">
        <v>0.08595525629855297</v>
      </c>
      <c r="G226" s="172"/>
      <c r="H226" s="70"/>
      <c r="I226" s="70"/>
      <c r="J226" s="70"/>
      <c r="K226" s="70"/>
    </row>
    <row r="227" spans="2:11" ht="14.25">
      <c r="B227" s="77" t="s">
        <v>271</v>
      </c>
      <c r="C227" s="63"/>
      <c r="D227" s="77" t="s">
        <v>296</v>
      </c>
      <c r="E227" s="563">
        <v>8.485065986887799</v>
      </c>
      <c r="G227" s="172"/>
      <c r="H227" s="172"/>
      <c r="I227" s="172"/>
      <c r="J227" s="172"/>
      <c r="K227" s="172"/>
    </row>
    <row r="228" spans="2:11" ht="14.25">
      <c r="B228" s="77" t="s">
        <v>273</v>
      </c>
      <c r="C228" s="63"/>
      <c r="D228" s="77" t="s">
        <v>296</v>
      </c>
      <c r="E228" s="563">
        <v>-0.7135026448674151</v>
      </c>
      <c r="G228" s="172"/>
      <c r="H228" s="70"/>
      <c r="I228" s="70"/>
      <c r="J228" s="70"/>
      <c r="K228" s="70"/>
    </row>
    <row r="229" spans="2:11" ht="14.25">
      <c r="B229" s="77" t="s">
        <v>275</v>
      </c>
      <c r="C229" s="63"/>
      <c r="D229" s="77" t="s">
        <v>296</v>
      </c>
      <c r="E229" s="563">
        <v>-0.2657374454060894</v>
      </c>
      <c r="G229" s="172"/>
      <c r="H229" s="70"/>
      <c r="I229" s="70"/>
      <c r="J229" s="70"/>
      <c r="K229" s="70"/>
    </row>
    <row r="231" spans="2:8" ht="14.25">
      <c r="B231" s="216" t="s">
        <v>169</v>
      </c>
      <c r="C231" s="63"/>
      <c r="D231" s="63"/>
      <c r="E231" s="63"/>
      <c r="F231" s="63"/>
      <c r="G231" s="63"/>
      <c r="H231" s="63"/>
    </row>
    <row r="232" spans="2:8" ht="14.25">
      <c r="B232" s="77" t="s">
        <v>107</v>
      </c>
      <c r="C232" s="63"/>
      <c r="D232" s="63"/>
      <c r="E232" s="63"/>
      <c r="F232" s="63"/>
      <c r="G232" s="70">
        <v>-7.193073115452157</v>
      </c>
      <c r="H232" s="63"/>
    </row>
    <row r="233" spans="2:8" ht="14.25">
      <c r="B233" s="63" t="s">
        <v>26</v>
      </c>
      <c r="C233" s="63"/>
      <c r="D233" s="63"/>
      <c r="E233" s="63"/>
      <c r="F233" s="63"/>
      <c r="G233" s="70">
        <v>0</v>
      </c>
      <c r="H233" s="63"/>
    </row>
    <row r="234" spans="2:8" ht="14.25">
      <c r="B234" s="63" t="s">
        <v>140</v>
      </c>
      <c r="C234" s="63"/>
      <c r="D234" s="63"/>
      <c r="E234" s="63"/>
      <c r="F234" s="63"/>
      <c r="G234" s="70">
        <v>-9.581259468734354</v>
      </c>
      <c r="H234" s="63"/>
    </row>
    <row r="235" spans="2:8" ht="14.25">
      <c r="B235" s="69"/>
      <c r="C235" s="63"/>
      <c r="D235" s="63"/>
      <c r="E235" s="63"/>
      <c r="F235" s="63"/>
      <c r="G235" s="70"/>
      <c r="H235" s="63"/>
    </row>
    <row r="236" spans="2:8" ht="14.25">
      <c r="B236" s="63" t="s">
        <v>245</v>
      </c>
      <c r="C236" s="63"/>
      <c r="D236" s="63"/>
      <c r="E236" s="63"/>
      <c r="F236" s="63"/>
      <c r="G236" s="70">
        <v>2.498016723686793</v>
      </c>
      <c r="H236" s="63"/>
    </row>
    <row r="237" spans="2:8" ht="14.25">
      <c r="B237" s="63" t="s">
        <v>246</v>
      </c>
      <c r="C237" s="63"/>
      <c r="D237" s="63"/>
      <c r="E237" s="63"/>
      <c r="F237" s="63"/>
      <c r="G237" s="70">
        <v>2.5886155616433104</v>
      </c>
      <c r="H237" s="63"/>
    </row>
    <row r="238" spans="2:8" ht="14.25">
      <c r="B238" s="63"/>
      <c r="C238" s="63"/>
      <c r="D238" s="63"/>
      <c r="E238" s="63"/>
      <c r="F238" s="63"/>
      <c r="G238" s="70"/>
      <c r="H238" s="63"/>
    </row>
    <row r="239" spans="2:8" ht="14.25">
      <c r="B239" s="63"/>
      <c r="C239" s="63"/>
      <c r="D239" s="63"/>
      <c r="E239" s="63"/>
      <c r="F239" s="63"/>
      <c r="G239" s="70"/>
      <c r="H239" s="63"/>
    </row>
    <row r="240" spans="1:2" ht="14.25">
      <c r="A240" s="216"/>
      <c r="B240" s="216" t="s">
        <v>173</v>
      </c>
    </row>
    <row r="241" spans="2:13" ht="38.25">
      <c r="B241" s="34"/>
      <c r="E241" s="263" t="s">
        <v>382</v>
      </c>
      <c r="F241" s="35" t="s">
        <v>685</v>
      </c>
      <c r="G241" s="35" t="s">
        <v>686</v>
      </c>
      <c r="H241" s="35" t="s">
        <v>687</v>
      </c>
      <c r="I241" s="35" t="s">
        <v>689</v>
      </c>
      <c r="J241" s="35" t="s">
        <v>690</v>
      </c>
      <c r="K241" s="35" t="s">
        <v>691</v>
      </c>
      <c r="L241" s="36" t="s">
        <v>692</v>
      </c>
      <c r="M241" s="34" t="s">
        <v>698</v>
      </c>
    </row>
    <row r="242" spans="2:13" ht="14.25">
      <c r="B242" s="498" t="s">
        <v>172</v>
      </c>
      <c r="E242" s="51"/>
      <c r="F242" s="37"/>
      <c r="G242" s="37"/>
      <c r="H242" s="38"/>
      <c r="I242" s="39"/>
      <c r="J242" s="38"/>
      <c r="K242" s="38"/>
      <c r="L242" s="38"/>
      <c r="M242" s="40"/>
    </row>
    <row r="243" spans="2:13" ht="12.75">
      <c r="B243" s="41" t="s">
        <v>377</v>
      </c>
      <c r="E243" s="42"/>
      <c r="F243" s="42"/>
      <c r="G243" s="52">
        <v>24.028687700000003</v>
      </c>
      <c r="H243" s="52">
        <v>17.760810647794873</v>
      </c>
      <c r="I243" s="52">
        <v>7.562008252255314</v>
      </c>
      <c r="J243" s="52">
        <v>16.63405473988797</v>
      </c>
      <c r="K243" s="52">
        <v>5.774732611398401</v>
      </c>
      <c r="L243" s="52">
        <v>7.015076425968838</v>
      </c>
      <c r="M243" s="52">
        <v>54.74668267730539</v>
      </c>
    </row>
    <row r="244" spans="2:13" ht="12.75">
      <c r="B244" s="43" t="s">
        <v>170</v>
      </c>
      <c r="E244" s="42"/>
      <c r="F244" s="42"/>
      <c r="G244" s="52">
        <v>37.736797407192824</v>
      </c>
      <c r="H244" s="52">
        <v>34.27417905002664</v>
      </c>
      <c r="I244" s="52">
        <v>26.26636514937045</v>
      </c>
      <c r="J244" s="52">
        <v>20.12471927332335</v>
      </c>
      <c r="K244" s="52">
        <v>19.611961621102967</v>
      </c>
      <c r="L244" s="52">
        <v>24.493796614422344</v>
      </c>
      <c r="M244" s="52">
        <v>124.77102170824574</v>
      </c>
    </row>
    <row r="245" spans="2:13" ht="12.75">
      <c r="B245" s="45" t="s">
        <v>699</v>
      </c>
      <c r="E245" s="53">
        <v>0</v>
      </c>
      <c r="F245" s="53">
        <v>0</v>
      </c>
      <c r="G245" s="53">
        <v>61.76548510719283</v>
      </c>
      <c r="H245" s="53">
        <v>52.03498969782151</v>
      </c>
      <c r="I245" s="53">
        <v>33.82837340162577</v>
      </c>
      <c r="J245" s="53">
        <v>36.75877401321132</v>
      </c>
      <c r="K245" s="53">
        <v>25.386694232501366</v>
      </c>
      <c r="L245" s="53">
        <v>31.50887304039118</v>
      </c>
      <c r="M245" s="53">
        <v>179.51770438555113</v>
      </c>
    </row>
    <row r="246" spans="2:13" ht="12.75">
      <c r="B246" s="46"/>
      <c r="E246" s="47"/>
      <c r="F246" s="47"/>
      <c r="G246" s="52"/>
      <c r="H246" s="52"/>
      <c r="I246" s="52"/>
      <c r="J246" s="52"/>
      <c r="K246" s="52"/>
      <c r="L246" s="52"/>
      <c r="M246" s="52"/>
    </row>
    <row r="247" spans="2:13" ht="12.75">
      <c r="B247" s="50" t="s">
        <v>174</v>
      </c>
      <c r="E247" s="51"/>
      <c r="F247" s="48"/>
      <c r="G247" s="52"/>
      <c r="H247" s="52"/>
      <c r="I247" s="52"/>
      <c r="J247" s="52"/>
      <c r="K247" s="52"/>
      <c r="L247" s="52"/>
      <c r="M247" s="52"/>
    </row>
    <row r="248" spans="2:13" ht="14.25">
      <c r="B248" s="496" t="s">
        <v>171</v>
      </c>
      <c r="E248" s="52"/>
      <c r="F248" s="52"/>
      <c r="G248" s="52">
        <v>53.468639242380476</v>
      </c>
      <c r="H248" s="52">
        <v>48.04331160020978</v>
      </c>
      <c r="I248" s="52">
        <v>48.86183052114021</v>
      </c>
      <c r="J248" s="52">
        <v>48.21098025193785</v>
      </c>
      <c r="K248" s="52">
        <v>48.233087861327505</v>
      </c>
      <c r="L248" s="52">
        <v>49.07638505859815</v>
      </c>
      <c r="M248" s="52">
        <v>242.42559529321352</v>
      </c>
    </row>
    <row r="249" spans="2:13" ht="14.25">
      <c r="B249" s="497" t="s">
        <v>176</v>
      </c>
      <c r="E249" s="52"/>
      <c r="F249" s="52"/>
      <c r="G249" s="52">
        <v>1.0214667590243907</v>
      </c>
      <c r="H249" s="52">
        <v>0.2901914441137286</v>
      </c>
      <c r="I249" s="52">
        <v>0</v>
      </c>
      <c r="J249" s="52">
        <v>0</v>
      </c>
      <c r="K249" s="52">
        <v>0</v>
      </c>
      <c r="L249" s="52">
        <v>0</v>
      </c>
      <c r="M249" s="52">
        <v>0.2901914441137286</v>
      </c>
    </row>
    <row r="250" spans="2:13" ht="14.25">
      <c r="B250" s="497" t="s">
        <v>177</v>
      </c>
      <c r="E250" s="52"/>
      <c r="F250" s="52"/>
      <c r="G250" s="52">
        <v>0</v>
      </c>
      <c r="H250" s="52">
        <v>0.5468333333333333</v>
      </c>
      <c r="I250" s="52">
        <v>0.7395</v>
      </c>
      <c r="J250" s="52">
        <v>0.9342916666666666</v>
      </c>
      <c r="K250" s="52">
        <v>1.1354583333333332</v>
      </c>
      <c r="L250" s="52">
        <v>1.3401666666666667</v>
      </c>
      <c r="M250" s="52">
        <v>4.69625</v>
      </c>
    </row>
    <row r="251" spans="2:13" ht="12.75">
      <c r="B251" s="49" t="s">
        <v>530</v>
      </c>
      <c r="E251" s="54">
        <v>0</v>
      </c>
      <c r="F251" s="54">
        <v>0</v>
      </c>
      <c r="G251" s="53">
        <v>54.49010600140487</v>
      </c>
      <c r="H251" s="53">
        <v>48.880336377656846</v>
      </c>
      <c r="I251" s="53">
        <v>49.60133052114021</v>
      </c>
      <c r="J251" s="53">
        <v>49.145271918604514</v>
      </c>
      <c r="K251" s="53">
        <v>49.36854619466084</v>
      </c>
      <c r="L251" s="53">
        <v>50.41655172526482</v>
      </c>
      <c r="M251" s="53">
        <v>247.41203673732724</v>
      </c>
    </row>
    <row r="253" spans="2:8" ht="14.25">
      <c r="B253" s="63"/>
      <c r="C253" s="63"/>
      <c r="D253" s="63"/>
      <c r="E253" s="63"/>
      <c r="F253" s="63"/>
      <c r="G253" s="63"/>
      <c r="H253" s="63"/>
    </row>
    <row r="254" spans="2:8" ht="14.25">
      <c r="B254" s="63"/>
      <c r="C254" s="63"/>
      <c r="D254" s="63"/>
      <c r="E254" s="63"/>
      <c r="F254" s="63"/>
      <c r="G254" s="63"/>
      <c r="H254" s="63"/>
    </row>
    <row r="255" spans="2:8" ht="14.25">
      <c r="B255" s="63"/>
      <c r="C255" s="63"/>
      <c r="D255" s="63"/>
      <c r="E255" s="63"/>
      <c r="F255" s="63"/>
      <c r="G255" s="63"/>
      <c r="H255" s="63"/>
    </row>
    <row r="256" spans="2:8" ht="14.25">
      <c r="B256" s="63"/>
      <c r="C256" s="63"/>
      <c r="D256" s="63"/>
      <c r="E256" s="63"/>
      <c r="F256" s="63"/>
      <c r="G256" s="63"/>
      <c r="H256" s="63"/>
    </row>
    <row r="257" spans="2:8" ht="14.25">
      <c r="B257" s="63"/>
      <c r="C257" s="63"/>
      <c r="D257" s="63"/>
      <c r="E257" s="63"/>
      <c r="F257" s="63"/>
      <c r="G257" s="63"/>
      <c r="H257" s="63"/>
    </row>
    <row r="258" spans="2:8" ht="14.25">
      <c r="B258" s="63"/>
      <c r="C258" s="63"/>
      <c r="D258" s="63"/>
      <c r="E258" s="63"/>
      <c r="F258" s="63"/>
      <c r="G258" s="63"/>
      <c r="H258" s="63"/>
    </row>
    <row r="259" spans="2:8" ht="14.25">
      <c r="B259" s="63"/>
      <c r="C259" s="63"/>
      <c r="D259" s="63"/>
      <c r="E259" s="63"/>
      <c r="F259" s="63"/>
      <c r="G259" s="63"/>
      <c r="H259" s="63"/>
    </row>
    <row r="260" spans="2:8" ht="14.25">
      <c r="B260" s="63"/>
      <c r="C260" s="63"/>
      <c r="D260" s="63"/>
      <c r="E260" s="63"/>
      <c r="F260" s="63"/>
      <c r="G260" s="63"/>
      <c r="H260" s="63"/>
    </row>
    <row r="261" spans="2:8" ht="14.25">
      <c r="B261" s="63"/>
      <c r="C261" s="63"/>
      <c r="D261" s="63"/>
      <c r="E261" s="63"/>
      <c r="F261" s="63"/>
      <c r="G261" s="63"/>
      <c r="H261" s="63"/>
    </row>
    <row r="262" spans="2:8" ht="14.25">
      <c r="B262" s="63"/>
      <c r="C262" s="63"/>
      <c r="D262" s="63"/>
      <c r="E262" s="63"/>
      <c r="F262" s="63"/>
      <c r="G262" s="63"/>
      <c r="H262" s="63"/>
    </row>
  </sheetData>
  <printOptions/>
  <pageMargins left="0.75" right="0.75" top="1" bottom="1" header="0.5" footer="0.5"/>
  <pageSetup fitToHeight="1" fitToWidth="1" horizontalDpi="600" verticalDpi="600" orientation="landscape" paperSize="9" scale="10" r:id="rId3"/>
  <legacyDrawing r:id="rId2"/>
</worksheet>
</file>

<file path=xl/worksheets/sheet16.xml><?xml version="1.0" encoding="utf-8"?>
<worksheet xmlns="http://schemas.openxmlformats.org/spreadsheetml/2006/main" xmlns:r="http://schemas.openxmlformats.org/officeDocument/2006/relationships">
  <sheetPr codeName="Sheet20"/>
  <dimension ref="A1:N252"/>
  <sheetViews>
    <sheetView zoomScale="70" zoomScaleNormal="70" workbookViewId="0" topLeftCell="A1">
      <pane xSplit="2" ySplit="1" topLeftCell="D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9.00390625" style="71" customWidth="1"/>
    <col min="2" max="2" width="48.00390625" style="63" customWidth="1"/>
    <col min="3" max="3" width="9.00390625" style="63" hidden="1" customWidth="1"/>
    <col min="4" max="4" width="9.00390625" style="63" customWidth="1"/>
    <col min="5" max="6" width="10.375" style="63" bestFit="1" customWidth="1"/>
    <col min="7" max="7" width="9.00390625" style="63" customWidth="1"/>
    <col min="8" max="8" width="9.125" style="63" bestFit="1" customWidth="1"/>
    <col min="9" max="9" width="9.375" style="63" bestFit="1" customWidth="1"/>
    <col min="10" max="12" width="9.125" style="63" bestFit="1" customWidth="1"/>
    <col min="13" max="16384" width="9.00390625" style="63" customWidth="1"/>
  </cols>
  <sheetData>
    <row r="1" spans="3:12" ht="14.25">
      <c r="C1" s="540"/>
      <c r="D1" s="540"/>
      <c r="E1" s="541" t="s">
        <v>76</v>
      </c>
      <c r="F1" s="541" t="s">
        <v>77</v>
      </c>
      <c r="G1" s="541" t="s">
        <v>91</v>
      </c>
      <c r="H1" s="541" t="s">
        <v>92</v>
      </c>
      <c r="I1" s="541" t="s">
        <v>93</v>
      </c>
      <c r="J1" s="541" t="s">
        <v>94</v>
      </c>
      <c r="K1" s="541" t="s">
        <v>95</v>
      </c>
      <c r="L1" s="541" t="s">
        <v>131</v>
      </c>
    </row>
    <row r="2" spans="1:12" ht="14.25">
      <c r="A2" s="216"/>
      <c r="C2" s="77"/>
      <c r="D2" s="542"/>
      <c r="E2" s="359"/>
      <c r="F2" s="359"/>
      <c r="G2" s="542"/>
      <c r="H2" s="542"/>
      <c r="I2" s="542"/>
      <c r="J2" s="542"/>
      <c r="K2" s="542"/>
      <c r="L2" s="543"/>
    </row>
    <row r="3" spans="1:12" ht="14.25">
      <c r="A3" s="216"/>
      <c r="B3" s="544" t="s">
        <v>429</v>
      </c>
      <c r="C3" s="545"/>
      <c r="D3" s="546"/>
      <c r="E3" s="583"/>
      <c r="F3" s="583"/>
      <c r="G3" s="542"/>
      <c r="H3" s="542"/>
      <c r="I3" s="547"/>
      <c r="J3" s="547"/>
      <c r="K3" s="542"/>
      <c r="L3" s="543"/>
    </row>
    <row r="4" spans="1:12" ht="14.25">
      <c r="A4" s="216" t="s">
        <v>534</v>
      </c>
      <c r="B4" s="548" t="s">
        <v>601</v>
      </c>
      <c r="C4" s="549"/>
      <c r="D4" s="546"/>
      <c r="E4" s="546">
        <v>401.18694697669355</v>
      </c>
      <c r="F4" s="546">
        <v>402.5844254746983</v>
      </c>
      <c r="G4" s="542"/>
      <c r="H4" s="542"/>
      <c r="I4" s="542"/>
      <c r="J4" s="542"/>
      <c r="K4" s="542"/>
      <c r="L4" s="542"/>
    </row>
    <row r="5" spans="1:12" ht="14.25">
      <c r="A5" s="216"/>
      <c r="B5" s="548" t="s">
        <v>600</v>
      </c>
      <c r="C5" s="545"/>
      <c r="D5" s="546"/>
      <c r="E5" s="546">
        <v>393.26606521852295</v>
      </c>
      <c r="F5" s="546">
        <v>386.2968006437529</v>
      </c>
      <c r="G5" s="542"/>
      <c r="H5" s="542"/>
      <c r="I5" s="542"/>
      <c r="J5" s="542"/>
      <c r="K5" s="542"/>
      <c r="L5" s="543"/>
    </row>
    <row r="6" spans="1:12" ht="14.25">
      <c r="A6" s="216"/>
      <c r="B6" s="548" t="s">
        <v>476</v>
      </c>
      <c r="C6" s="545"/>
      <c r="D6" s="546"/>
      <c r="E6" s="546">
        <v>-5.028096867721017</v>
      </c>
      <c r="F6" s="546">
        <v>-4.938991449079717</v>
      </c>
      <c r="G6" s="542"/>
      <c r="H6" s="547"/>
      <c r="I6" s="547"/>
      <c r="J6" s="547"/>
      <c r="K6" s="542"/>
      <c r="L6" s="543"/>
    </row>
    <row r="7" spans="1:12" ht="14.25">
      <c r="A7" s="216"/>
      <c r="B7" s="548" t="s">
        <v>477</v>
      </c>
      <c r="C7" s="545"/>
      <c r="D7" s="546"/>
      <c r="E7" s="546">
        <v>1.419884398624442</v>
      </c>
      <c r="F7" s="546">
        <v>1.3947219172542178</v>
      </c>
      <c r="G7" s="542"/>
      <c r="H7" s="547"/>
      <c r="I7" s="547"/>
      <c r="J7" s="542"/>
      <c r="K7" s="542"/>
      <c r="L7" s="543"/>
    </row>
    <row r="8" spans="1:12" ht="14.25">
      <c r="A8" s="216"/>
      <c r="B8" s="548" t="s">
        <v>478</v>
      </c>
      <c r="C8" s="545"/>
      <c r="D8" s="546"/>
      <c r="E8" s="546">
        <v>389.6578527494264</v>
      </c>
      <c r="F8" s="546">
        <v>382.7525311119274</v>
      </c>
      <c r="G8" s="542"/>
      <c r="H8" s="542"/>
      <c r="I8" s="542"/>
      <c r="J8" s="542"/>
      <c r="K8" s="542"/>
      <c r="L8" s="543"/>
    </row>
    <row r="9" spans="1:12" ht="14.25">
      <c r="A9" s="121"/>
      <c r="B9" s="548" t="s">
        <v>66</v>
      </c>
      <c r="C9" s="549"/>
      <c r="D9" s="546"/>
      <c r="E9" s="546">
        <v>-116.13163909281703</v>
      </c>
      <c r="F9" s="546">
        <v>-112.10872296721826</v>
      </c>
      <c r="G9" s="542"/>
      <c r="H9" s="542"/>
      <c r="I9" s="542"/>
      <c r="J9" s="542"/>
      <c r="K9" s="542"/>
      <c r="L9" s="542"/>
    </row>
    <row r="10" spans="1:12" ht="14.25">
      <c r="A10" s="121"/>
      <c r="B10" s="548" t="s">
        <v>479</v>
      </c>
      <c r="C10" s="549"/>
      <c r="D10" s="546"/>
      <c r="E10" s="546">
        <v>-111.103542225096</v>
      </c>
      <c r="F10" s="546">
        <v>-107.16973151813853</v>
      </c>
      <c r="H10" s="542"/>
      <c r="I10" s="542"/>
      <c r="J10" s="542"/>
      <c r="K10" s="542"/>
      <c r="L10" s="542"/>
    </row>
    <row r="11" spans="1:12" ht="14.25">
      <c r="A11" s="121"/>
      <c r="B11" s="548" t="s">
        <v>67</v>
      </c>
      <c r="C11" s="549"/>
      <c r="D11" s="546"/>
      <c r="E11" s="546">
        <v>-38.75415435229321</v>
      </c>
      <c r="F11" s="546">
        <v>-40.979168787088064</v>
      </c>
      <c r="G11" s="542"/>
      <c r="H11" s="542"/>
      <c r="I11" s="542"/>
      <c r="J11" s="542"/>
      <c r="K11" s="542"/>
      <c r="L11" s="542"/>
    </row>
    <row r="12" spans="1:12" ht="14.25">
      <c r="A12" s="121"/>
      <c r="B12" s="548" t="s">
        <v>487</v>
      </c>
      <c r="C12" s="549"/>
      <c r="D12" s="546"/>
      <c r="E12" s="546">
        <v>-47.52583586748523</v>
      </c>
      <c r="F12" s="546">
        <v>-50.66605466211479</v>
      </c>
      <c r="G12" s="542"/>
      <c r="H12" s="542"/>
      <c r="I12" s="542"/>
      <c r="J12" s="542"/>
      <c r="K12" s="542"/>
      <c r="L12" s="542"/>
    </row>
    <row r="13" spans="1:12" ht="14.25">
      <c r="A13" s="550" t="s">
        <v>121</v>
      </c>
      <c r="B13" s="551"/>
      <c r="C13" s="549"/>
      <c r="D13" s="546"/>
      <c r="E13" s="546"/>
      <c r="F13" s="546"/>
      <c r="G13" s="542"/>
      <c r="H13" s="542"/>
      <c r="I13" s="542"/>
      <c r="J13" s="542"/>
      <c r="K13" s="542"/>
      <c r="L13" s="543"/>
    </row>
    <row r="14" spans="1:12" ht="14.25">
      <c r="A14" s="552"/>
      <c r="B14" s="545" t="s">
        <v>494</v>
      </c>
      <c r="C14" s="549"/>
      <c r="D14" s="546"/>
      <c r="E14" s="546">
        <v>18.321912611012575</v>
      </c>
      <c r="F14" s="546">
        <v>23.60430878719111</v>
      </c>
      <c r="G14" s="542"/>
      <c r="H14" s="542"/>
      <c r="I14" s="542"/>
      <c r="J14" s="542"/>
      <c r="K14" s="542"/>
      <c r="L14" s="543"/>
    </row>
    <row r="15" spans="1:12" ht="14.25">
      <c r="A15" s="552"/>
      <c r="B15" s="545" t="s">
        <v>493</v>
      </c>
      <c r="C15" s="549"/>
      <c r="D15" s="546"/>
      <c r="E15" s="546">
        <v>47.52583586748525</v>
      </c>
      <c r="F15" s="546">
        <v>50.66605466211481</v>
      </c>
      <c r="G15" s="542"/>
      <c r="H15" s="542"/>
      <c r="I15" s="542"/>
      <c r="J15" s="542"/>
      <c r="K15" s="542"/>
      <c r="L15" s="543"/>
    </row>
    <row r="16" spans="1:12" ht="14.25">
      <c r="A16" s="552"/>
      <c r="B16" s="545" t="s">
        <v>142</v>
      </c>
      <c r="C16" s="549"/>
      <c r="D16" s="546"/>
      <c r="E16" s="546">
        <v>95.0516717349705</v>
      </c>
      <c r="F16" s="546">
        <v>101.33210932422962</v>
      </c>
      <c r="G16" s="542"/>
      <c r="H16" s="542"/>
      <c r="I16" s="542"/>
      <c r="J16" s="542"/>
      <c r="K16" s="542"/>
      <c r="L16" s="543"/>
    </row>
    <row r="17" spans="1:12" ht="14.25">
      <c r="A17" s="121"/>
      <c r="B17" s="121"/>
      <c r="C17" s="553"/>
      <c r="D17" s="542"/>
      <c r="E17" s="542"/>
      <c r="F17" s="542"/>
      <c r="G17" s="542"/>
      <c r="H17" s="542"/>
      <c r="I17" s="542"/>
      <c r="J17" s="542"/>
      <c r="K17" s="542"/>
      <c r="L17" s="542"/>
    </row>
    <row r="18" spans="1:12" ht="14.25">
      <c r="A18" s="121"/>
      <c r="B18" s="554" t="s">
        <v>785</v>
      </c>
      <c r="C18" s="555"/>
      <c r="D18" s="556"/>
      <c r="E18" s="556">
        <v>390.5</v>
      </c>
      <c r="F18" s="556">
        <v>405.1</v>
      </c>
      <c r="G18" s="556">
        <v>500.1</v>
      </c>
      <c r="H18" s="542"/>
      <c r="I18" s="542"/>
      <c r="J18" s="542"/>
      <c r="K18" s="542"/>
      <c r="L18" s="542"/>
    </row>
    <row r="19" spans="1:7" ht="14.25">
      <c r="A19" s="121"/>
      <c r="B19" s="554" t="s">
        <v>153</v>
      </c>
      <c r="C19" s="555"/>
      <c r="D19" s="556"/>
      <c r="E19" s="556">
        <v>-126.5</v>
      </c>
      <c r="F19" s="556">
        <v>-133.7</v>
      </c>
      <c r="G19" s="556">
        <v>-152.6</v>
      </c>
    </row>
    <row r="20" spans="1:7" ht="14.25">
      <c r="A20" s="121"/>
      <c r="B20" s="554" t="s">
        <v>67</v>
      </c>
      <c r="C20" s="555"/>
      <c r="D20" s="556"/>
      <c r="E20" s="556">
        <v>-41.998999999999995</v>
      </c>
      <c r="F20" s="556">
        <v>-48.878</v>
      </c>
      <c r="G20" s="556">
        <v>-51.397</v>
      </c>
    </row>
    <row r="21" spans="1:12" ht="14.25">
      <c r="A21" s="121"/>
      <c r="B21" s="554"/>
      <c r="C21" s="555"/>
      <c r="D21" s="556"/>
      <c r="E21" s="556"/>
      <c r="F21" s="556"/>
      <c r="G21" s="556"/>
      <c r="H21" s="542"/>
      <c r="I21" s="542"/>
      <c r="J21" s="542"/>
      <c r="K21" s="542"/>
      <c r="L21" s="542"/>
    </row>
    <row r="22" spans="1:12" ht="14.25">
      <c r="A22" s="121"/>
      <c r="B22" s="554" t="s">
        <v>8</v>
      </c>
      <c r="C22" s="555"/>
      <c r="D22" s="556"/>
      <c r="E22" s="556">
        <v>-35.812</v>
      </c>
      <c r="F22" s="556">
        <v>-34.11104390243902</v>
      </c>
      <c r="G22" s="556">
        <v>-37.86343766805473</v>
      </c>
      <c r="H22" s="542"/>
      <c r="I22" s="542"/>
      <c r="J22" s="542"/>
      <c r="K22" s="542"/>
      <c r="L22" s="542"/>
    </row>
    <row r="23" spans="1:7" ht="14.25">
      <c r="A23" s="121"/>
      <c r="B23" s="554" t="s">
        <v>57</v>
      </c>
      <c r="C23" s="555"/>
      <c r="D23" s="556"/>
      <c r="E23" s="556">
        <v>-60.2</v>
      </c>
      <c r="F23" s="556">
        <v>-58.536</v>
      </c>
      <c r="G23" s="556">
        <v>-58.06</v>
      </c>
    </row>
    <row r="24" spans="1:14" ht="14.25">
      <c r="A24" s="121"/>
      <c r="B24" s="554" t="s">
        <v>727</v>
      </c>
      <c r="C24" s="555"/>
      <c r="D24" s="556"/>
      <c r="E24" s="556">
        <v>28.74293635</v>
      </c>
      <c r="F24" s="556">
        <v>47.457073251485305</v>
      </c>
      <c r="G24" s="556">
        <v>92.00920708750117</v>
      </c>
      <c r="N24" s="543"/>
    </row>
    <row r="25" spans="1:12" ht="14.25">
      <c r="A25" s="121"/>
      <c r="B25" s="77" t="s">
        <v>350</v>
      </c>
      <c r="C25" s="553"/>
      <c r="D25" s="542"/>
      <c r="E25" s="542"/>
      <c r="F25" s="542"/>
      <c r="G25" s="557">
        <v>432.4</v>
      </c>
      <c r="H25" s="542"/>
      <c r="I25" s="542"/>
      <c r="J25" s="542"/>
      <c r="K25" s="542"/>
      <c r="L25" s="542"/>
    </row>
    <row r="26" spans="1:12" ht="14.25">
      <c r="A26" s="121"/>
      <c r="B26" s="77"/>
      <c r="C26" s="553"/>
      <c r="D26" s="542"/>
      <c r="E26" s="542"/>
      <c r="F26" s="542"/>
      <c r="G26" s="557"/>
      <c r="H26" s="542"/>
      <c r="I26" s="542"/>
      <c r="J26" s="542"/>
      <c r="K26" s="542"/>
      <c r="L26" s="542"/>
    </row>
    <row r="27" spans="1:12" ht="14.25">
      <c r="A27" s="121"/>
      <c r="B27" s="554" t="s">
        <v>586</v>
      </c>
      <c r="C27" s="555"/>
      <c r="D27" s="556"/>
      <c r="E27" s="556">
        <v>66.19871131324955</v>
      </c>
      <c r="F27" s="556">
        <v>71.9292414143501</v>
      </c>
      <c r="G27" s="556">
        <v>0</v>
      </c>
      <c r="H27" s="542"/>
      <c r="I27" s="542"/>
      <c r="J27" s="542"/>
      <c r="K27" s="542"/>
      <c r="L27" s="542"/>
    </row>
    <row r="28" spans="1:14" ht="14.25">
      <c r="A28" s="121"/>
      <c r="B28" s="554" t="s">
        <v>584</v>
      </c>
      <c r="C28" s="555"/>
      <c r="D28" s="556"/>
      <c r="E28" s="556">
        <v>62.8461</v>
      </c>
      <c r="F28" s="556">
        <v>67.15335695027427</v>
      </c>
      <c r="G28" s="556">
        <v>68.54299421360686</v>
      </c>
      <c r="N28" s="543"/>
    </row>
    <row r="29" spans="1:12" ht="14.25">
      <c r="A29" s="121"/>
      <c r="B29" s="554" t="s">
        <v>587</v>
      </c>
      <c r="C29" s="555"/>
      <c r="D29" s="556"/>
      <c r="E29" s="556">
        <v>28.852140063102077</v>
      </c>
      <c r="F29" s="556">
        <v>29.401993346941936</v>
      </c>
      <c r="G29" s="556">
        <v>0</v>
      </c>
      <c r="H29" s="542"/>
      <c r="I29" s="542"/>
      <c r="J29" s="542"/>
      <c r="K29" s="542"/>
      <c r="L29" s="542"/>
    </row>
    <row r="30" spans="1:14" ht="14.25">
      <c r="A30" s="121"/>
      <c r="B30" s="554" t="s">
        <v>585</v>
      </c>
      <c r="C30" s="555"/>
      <c r="D30" s="556"/>
      <c r="E30" s="556">
        <v>40.8205</v>
      </c>
      <c r="F30" s="556">
        <v>49.773748371323045</v>
      </c>
      <c r="G30" s="556">
        <v>65.29043628168235</v>
      </c>
      <c r="N30" s="543"/>
    </row>
    <row r="31" spans="1:12" ht="14.25">
      <c r="A31" s="121"/>
      <c r="B31" s="77" t="s">
        <v>482</v>
      </c>
      <c r="C31" s="553"/>
      <c r="D31" s="542"/>
      <c r="E31" s="542">
        <v>103.6666</v>
      </c>
      <c r="F31" s="542">
        <v>116.92710532159731</v>
      </c>
      <c r="G31" s="542">
        <v>133.8334304952892</v>
      </c>
      <c r="H31" s="542"/>
      <c r="I31" s="542"/>
      <c r="J31" s="542"/>
      <c r="K31" s="542"/>
      <c r="L31" s="542"/>
    </row>
    <row r="32" spans="1:12" ht="14.25">
      <c r="A32" s="121"/>
      <c r="B32" s="559" t="s">
        <v>310</v>
      </c>
      <c r="C32" s="560"/>
      <c r="D32" s="561"/>
      <c r="E32" s="561">
        <v>62.8461</v>
      </c>
      <c r="F32" s="561">
        <v>67.15335695027426</v>
      </c>
      <c r="G32" s="542"/>
      <c r="H32" s="542"/>
      <c r="I32" s="542"/>
      <c r="J32" s="542"/>
      <c r="K32" s="542"/>
      <c r="L32" s="542"/>
    </row>
    <row r="33" spans="1:12" ht="14.25">
      <c r="A33" s="121"/>
      <c r="B33" s="559" t="s">
        <v>311</v>
      </c>
      <c r="C33" s="560"/>
      <c r="D33" s="561"/>
      <c r="E33" s="561">
        <v>40.8205</v>
      </c>
      <c r="F33" s="561">
        <v>49.773748371323045</v>
      </c>
      <c r="G33" s="542"/>
      <c r="H33" s="542"/>
      <c r="I33" s="542"/>
      <c r="J33" s="542"/>
      <c r="K33" s="542"/>
      <c r="L33" s="542"/>
    </row>
    <row r="34" spans="1:12" ht="14.25">
      <c r="A34" s="121"/>
      <c r="B34" s="77"/>
      <c r="C34" s="553"/>
      <c r="D34" s="542"/>
      <c r="E34" s="542"/>
      <c r="F34" s="542"/>
      <c r="G34" s="558"/>
      <c r="H34" s="542"/>
      <c r="I34" s="542"/>
      <c r="J34" s="542"/>
      <c r="K34" s="542"/>
      <c r="L34" s="542"/>
    </row>
    <row r="35" spans="1:12" ht="14.25">
      <c r="A35" s="121"/>
      <c r="B35" s="77"/>
      <c r="C35" s="553"/>
      <c r="D35" s="542"/>
      <c r="E35" s="542"/>
      <c r="F35" s="542"/>
      <c r="G35" s="558"/>
      <c r="H35" s="542"/>
      <c r="I35" s="542"/>
      <c r="J35" s="542"/>
      <c r="K35" s="542"/>
      <c r="L35" s="542"/>
    </row>
    <row r="36" spans="1:13" ht="14.25">
      <c r="A36" s="121"/>
      <c r="B36" s="216" t="s">
        <v>154</v>
      </c>
      <c r="C36" s="553"/>
      <c r="D36" s="542"/>
      <c r="E36" s="542"/>
      <c r="F36" s="542"/>
      <c r="G36" s="558"/>
      <c r="H36" s="542"/>
      <c r="I36" s="542"/>
      <c r="J36" s="542"/>
      <c r="K36" s="542"/>
      <c r="L36" s="542"/>
      <c r="M36" s="71"/>
    </row>
    <row r="37" spans="1:13" ht="14.25">
      <c r="A37" s="121"/>
      <c r="B37" s="71" t="s">
        <v>153</v>
      </c>
      <c r="C37" s="553"/>
      <c r="D37" s="542"/>
      <c r="E37" s="542"/>
      <c r="F37" s="542"/>
      <c r="G37" s="558"/>
      <c r="H37" s="557">
        <v>-134.79435574136988</v>
      </c>
      <c r="I37" s="557">
        <v>-131.78511045372758</v>
      </c>
      <c r="J37" s="557">
        <v>-129.99728521332062</v>
      </c>
      <c r="K37" s="557">
        <v>-128.45641006101485</v>
      </c>
      <c r="L37" s="557">
        <v>-126.88795920394637</v>
      </c>
      <c r="M37" s="71"/>
    </row>
    <row r="38" spans="1:13" ht="14.25">
      <c r="A38" s="121"/>
      <c r="B38" s="71" t="s">
        <v>727</v>
      </c>
      <c r="C38" s="553"/>
      <c r="D38" s="542"/>
      <c r="E38" s="542"/>
      <c r="F38" s="542"/>
      <c r="G38" s="558"/>
      <c r="H38" s="557">
        <v>81.45979590552527</v>
      </c>
      <c r="I38" s="557">
        <v>80.63935187596579</v>
      </c>
      <c r="J38" s="557">
        <v>74.89740971383709</v>
      </c>
      <c r="K38" s="557">
        <v>66.05219603136405</v>
      </c>
      <c r="L38" s="557">
        <v>51.56941682214974</v>
      </c>
      <c r="M38" s="71"/>
    </row>
    <row r="39" spans="1:13" ht="14.25">
      <c r="A39" s="121"/>
      <c r="B39" s="71" t="s">
        <v>155</v>
      </c>
      <c r="C39" s="553"/>
      <c r="D39" s="542"/>
      <c r="E39" s="542"/>
      <c r="F39" s="542"/>
      <c r="G39" s="558"/>
      <c r="H39" s="557">
        <v>77.57883145134255</v>
      </c>
      <c r="I39" s="557">
        <v>79.64407895876218</v>
      </c>
      <c r="J39" s="557">
        <v>80.8209634186052</v>
      </c>
      <c r="K39" s="557">
        <v>81.99939933428715</v>
      </c>
      <c r="L39" s="557">
        <v>83.49218503882118</v>
      </c>
      <c r="M39" s="71"/>
    </row>
    <row r="40" spans="1:13" ht="14.25">
      <c r="A40" s="121"/>
      <c r="B40" s="71" t="s">
        <v>156</v>
      </c>
      <c r="C40" s="553"/>
      <c r="D40" s="542"/>
      <c r="E40" s="542"/>
      <c r="F40" s="542"/>
      <c r="G40" s="558"/>
      <c r="H40" s="557">
        <v>49.753988832502</v>
      </c>
      <c r="I40" s="557">
        <v>64.9983882184279</v>
      </c>
      <c r="J40" s="557">
        <v>50.05732216790557</v>
      </c>
      <c r="K40" s="557">
        <v>49.843375</v>
      </c>
      <c r="L40" s="557">
        <v>50.098625</v>
      </c>
      <c r="M40" s="71"/>
    </row>
    <row r="41" spans="1:13" ht="14.25">
      <c r="A41" s="121"/>
      <c r="B41" s="71" t="s">
        <v>820</v>
      </c>
      <c r="C41" s="553"/>
      <c r="D41" s="542"/>
      <c r="E41" s="542"/>
      <c r="F41" s="542"/>
      <c r="G41" s="558"/>
      <c r="H41" s="557">
        <v>180.3078355003887</v>
      </c>
      <c r="I41" s="557">
        <v>184.45511117691026</v>
      </c>
      <c r="J41" s="557">
        <v>163.8682636792704</v>
      </c>
      <c r="K41" s="557">
        <v>161.8376344010813</v>
      </c>
      <c r="L41" s="557">
        <v>173.22715436038473</v>
      </c>
      <c r="M41" s="71"/>
    </row>
    <row r="42" spans="1:13" ht="14.25">
      <c r="A42" s="121"/>
      <c r="B42" s="63" t="s">
        <v>158</v>
      </c>
      <c r="C42" s="553"/>
      <c r="D42" s="542"/>
      <c r="E42" s="542"/>
      <c r="F42" s="542"/>
      <c r="G42" s="558"/>
      <c r="H42" s="557">
        <v>144.3334600962974</v>
      </c>
      <c r="I42" s="557">
        <v>165.85733094282796</v>
      </c>
      <c r="J42" s="557">
        <v>155.08374222899323</v>
      </c>
      <c r="K42" s="557">
        <v>158.91708513900193</v>
      </c>
      <c r="L42" s="557">
        <v>164.8562207939516</v>
      </c>
      <c r="M42" s="71"/>
    </row>
    <row r="43" spans="1:13" ht="14.25">
      <c r="A43" s="121"/>
      <c r="B43" s="63" t="s">
        <v>159</v>
      </c>
      <c r="C43" s="553"/>
      <c r="D43" s="542"/>
      <c r="E43" s="542"/>
      <c r="F43" s="542"/>
      <c r="G43" s="558"/>
      <c r="H43" s="557">
        <v>63.196933156966224</v>
      </c>
      <c r="I43" s="557">
        <v>51.68010935945051</v>
      </c>
      <c r="J43" s="557">
        <v>48.456990258853146</v>
      </c>
      <c r="K43" s="557">
        <v>41.32242740483512</v>
      </c>
      <c r="L43" s="557">
        <v>53.21651834855741</v>
      </c>
      <c r="M43" s="71"/>
    </row>
    <row r="44" spans="1:13" ht="14.25">
      <c r="A44" s="121"/>
      <c r="B44" s="63" t="s">
        <v>67</v>
      </c>
      <c r="C44" s="553"/>
      <c r="D44" s="542"/>
      <c r="E44" s="542"/>
      <c r="F44" s="542"/>
      <c r="G44" s="558"/>
      <c r="H44" s="557">
        <v>-51.397</v>
      </c>
      <c r="I44" s="557">
        <v>-51.397</v>
      </c>
      <c r="J44" s="557">
        <v>-51.397</v>
      </c>
      <c r="K44" s="557">
        <v>-51.397</v>
      </c>
      <c r="L44" s="557">
        <v>-51.397</v>
      </c>
      <c r="M44" s="71"/>
    </row>
    <row r="45" spans="1:13" ht="14.25">
      <c r="A45" s="121"/>
      <c r="B45" s="63" t="s">
        <v>57</v>
      </c>
      <c r="C45" s="553"/>
      <c r="D45" s="542"/>
      <c r="E45" s="542"/>
      <c r="F45" s="542"/>
      <c r="G45" s="558"/>
      <c r="H45" s="557">
        <v>-58.5</v>
      </c>
      <c r="I45" s="557">
        <v>-58.9</v>
      </c>
      <c r="J45" s="557">
        <v>-60.8</v>
      </c>
      <c r="K45" s="557">
        <v>-61</v>
      </c>
      <c r="L45" s="557">
        <v>-60.9</v>
      </c>
      <c r="M45" s="71"/>
    </row>
    <row r="46" spans="1:13" ht="14.25">
      <c r="A46" s="121"/>
      <c r="B46" s="71" t="s">
        <v>157</v>
      </c>
      <c r="C46" s="553"/>
      <c r="D46" s="542"/>
      <c r="E46" s="542"/>
      <c r="F46" s="542"/>
      <c r="G46" s="558"/>
      <c r="H46" s="557">
        <v>16.79914249469845</v>
      </c>
      <c r="I46" s="557">
        <v>16.79914249469845</v>
      </c>
      <c r="J46" s="557">
        <v>16.79914249469845</v>
      </c>
      <c r="K46" s="557">
        <v>16.79914249469845</v>
      </c>
      <c r="L46" s="557">
        <v>16.79914249469845</v>
      </c>
      <c r="M46" s="71"/>
    </row>
    <row r="47" spans="1:13" ht="14.25">
      <c r="A47" s="121"/>
      <c r="B47" s="71" t="s">
        <v>819</v>
      </c>
      <c r="C47" s="553"/>
      <c r="D47" s="542"/>
      <c r="E47" s="143"/>
      <c r="F47" s="143"/>
      <c r="G47" s="143"/>
      <c r="H47" s="510">
        <v>-37.954040269872806</v>
      </c>
      <c r="I47" s="510">
        <v>-43.548976834787936</v>
      </c>
      <c r="J47" s="510">
        <v>-42.17105907120692</v>
      </c>
      <c r="K47" s="510">
        <v>-40.68571578405838</v>
      </c>
      <c r="L47" s="510">
        <v>-42.51526929264229</v>
      </c>
      <c r="M47" s="71"/>
    </row>
    <row r="48" spans="1:13" ht="14.25">
      <c r="A48" s="121"/>
      <c r="B48" s="216"/>
      <c r="C48" s="553"/>
      <c r="D48" s="542"/>
      <c r="E48" s="542"/>
      <c r="F48" s="542"/>
      <c r="G48" s="558"/>
      <c r="H48" s="542"/>
      <c r="I48" s="542"/>
      <c r="J48" s="542"/>
      <c r="K48" s="542"/>
      <c r="L48" s="542"/>
      <c r="M48" s="71"/>
    </row>
    <row r="49" spans="1:12" ht="14.25">
      <c r="A49" s="121"/>
      <c r="B49" s="122" t="s">
        <v>419</v>
      </c>
      <c r="C49" s="553"/>
      <c r="D49" s="542"/>
      <c r="E49" s="542"/>
      <c r="F49" s="542"/>
      <c r="G49" s="542"/>
      <c r="H49" s="542"/>
      <c r="I49" s="542"/>
      <c r="J49" s="542"/>
      <c r="K49" s="542"/>
      <c r="L49" s="542"/>
    </row>
    <row r="50" spans="1:12" ht="14.25">
      <c r="A50" s="121"/>
      <c r="B50" s="63" t="s">
        <v>160</v>
      </c>
      <c r="C50" s="553"/>
      <c r="D50" s="542"/>
      <c r="E50" s="543">
        <v>16.386784000000002</v>
      </c>
      <c r="F50" s="543">
        <v>14.8391188</v>
      </c>
      <c r="G50" s="543">
        <v>8.938500836000001</v>
      </c>
      <c r="H50" s="543">
        <v>5.53987051272</v>
      </c>
      <c r="I50" s="543">
        <v>5.6432675829744</v>
      </c>
      <c r="J50" s="543">
        <v>5.748732594633888</v>
      </c>
      <c r="K50" s="543">
        <v>5.856306906526568</v>
      </c>
      <c r="L50" s="543">
        <v>5.966032704657099</v>
      </c>
    </row>
    <row r="51" spans="1:12" ht="14.25">
      <c r="A51" s="121"/>
      <c r="B51" s="77"/>
      <c r="C51" s="553"/>
      <c r="D51" s="542"/>
      <c r="E51" s="542"/>
      <c r="F51" s="542"/>
      <c r="G51" s="542"/>
      <c r="H51" s="542"/>
      <c r="I51" s="542"/>
      <c r="J51" s="542"/>
      <c r="K51" s="542"/>
      <c r="L51" s="542"/>
    </row>
    <row r="52" spans="1:12" ht="14.25">
      <c r="A52" s="121"/>
      <c r="B52" s="77"/>
      <c r="C52" s="553"/>
      <c r="D52" s="542"/>
      <c r="E52" s="542"/>
      <c r="F52" s="542"/>
      <c r="G52" s="542"/>
      <c r="H52" s="542"/>
      <c r="I52" s="542"/>
      <c r="J52" s="542"/>
      <c r="K52" s="542"/>
      <c r="L52" s="542"/>
    </row>
    <row r="53" spans="1:12" ht="14.25">
      <c r="A53" s="121"/>
      <c r="B53" s="110" t="s">
        <v>161</v>
      </c>
      <c r="C53" s="553"/>
      <c r="D53" s="542"/>
      <c r="E53" s="542"/>
      <c r="F53" s="542"/>
      <c r="G53" s="542"/>
      <c r="H53" s="542"/>
      <c r="I53" s="542"/>
      <c r="J53" s="542"/>
      <c r="K53" s="542"/>
      <c r="L53" s="542"/>
    </row>
    <row r="54" spans="1:12" ht="14.25">
      <c r="A54" s="121"/>
      <c r="B54" s="545" t="s">
        <v>535</v>
      </c>
      <c r="C54" s="549"/>
      <c r="D54" s="546"/>
      <c r="E54" s="546">
        <v>7.329653217535318</v>
      </c>
      <c r="F54" s="546">
        <v>6.9301875178334935</v>
      </c>
      <c r="G54" s="563">
        <v>16.79914249469845</v>
      </c>
      <c r="H54" s="542"/>
      <c r="I54" s="542"/>
      <c r="J54" s="542"/>
      <c r="K54" s="542"/>
      <c r="L54" s="542"/>
    </row>
    <row r="55" spans="1:12" ht="14.25">
      <c r="A55" s="121"/>
      <c r="B55" s="554" t="s">
        <v>536</v>
      </c>
      <c r="C55" s="555"/>
      <c r="D55" s="556"/>
      <c r="E55" s="556">
        <v>17.3</v>
      </c>
      <c r="F55" s="556">
        <v>18.5</v>
      </c>
      <c r="G55" s="556">
        <v>18.6</v>
      </c>
      <c r="H55" s="542"/>
      <c r="I55" s="542"/>
      <c r="J55" s="542"/>
      <c r="K55" s="542"/>
      <c r="L55" s="542"/>
    </row>
    <row r="56" spans="1:7" ht="14.25">
      <c r="A56" s="121"/>
      <c r="B56" s="564" t="s">
        <v>768</v>
      </c>
      <c r="C56" s="565"/>
      <c r="D56" s="566"/>
      <c r="E56" s="566">
        <v>17.709126073128424</v>
      </c>
      <c r="F56" s="566">
        <v>16.79914249469845</v>
      </c>
      <c r="G56" s="566">
        <v>16.79914249469845</v>
      </c>
    </row>
    <row r="57" spans="1:7" ht="14.25">
      <c r="A57" s="121"/>
      <c r="B57" s="545" t="s">
        <v>537</v>
      </c>
      <c r="C57" s="549"/>
      <c r="D57" s="546"/>
      <c r="E57" s="546">
        <v>3.681610934952188</v>
      </c>
      <c r="F57" s="546">
        <v>3.587879148082844</v>
      </c>
      <c r="G57" s="563">
        <v>10.986441451625923</v>
      </c>
    </row>
    <row r="58" spans="1:12" s="71" customFormat="1" ht="14.25">
      <c r="A58" s="121"/>
      <c r="B58" s="121"/>
      <c r="C58" s="562"/>
      <c r="D58" s="558"/>
      <c r="E58" s="558"/>
      <c r="F58" s="558"/>
      <c r="G58" s="172"/>
      <c r="H58" s="558"/>
      <c r="I58" s="558"/>
      <c r="J58" s="558"/>
      <c r="K58" s="558"/>
      <c r="L58" s="558"/>
    </row>
    <row r="59" spans="1:12" ht="14.25">
      <c r="A59" s="121"/>
      <c r="B59" s="554" t="s">
        <v>659</v>
      </c>
      <c r="C59" s="555"/>
      <c r="D59" s="556"/>
      <c r="E59" s="556">
        <v>5.875364617260127</v>
      </c>
      <c r="F59" s="556">
        <v>5.889130434782608</v>
      </c>
      <c r="G59" s="556">
        <v>8.955555555555556</v>
      </c>
      <c r="H59" s="542"/>
      <c r="I59" s="542"/>
      <c r="J59" s="542"/>
      <c r="K59" s="542"/>
      <c r="L59" s="542"/>
    </row>
    <row r="60" spans="1:12" ht="14.25">
      <c r="A60" s="121"/>
      <c r="B60" s="564" t="s">
        <v>300</v>
      </c>
      <c r="C60" s="565"/>
      <c r="D60" s="566"/>
      <c r="E60" s="567">
        <v>0.233</v>
      </c>
      <c r="F60" s="567">
        <v>0.233</v>
      </c>
      <c r="G60" s="567">
        <v>0.37</v>
      </c>
      <c r="I60" s="542"/>
      <c r="J60" s="542"/>
      <c r="K60" s="542"/>
      <c r="L60" s="547"/>
    </row>
    <row r="61" spans="1:12" ht="14.25">
      <c r="A61" s="121"/>
      <c r="B61" s="77" t="s">
        <v>570</v>
      </c>
      <c r="C61" s="553"/>
      <c r="D61" s="542"/>
      <c r="E61" s="566">
        <v>64.96436229598257</v>
      </c>
      <c r="F61" s="63">
        <v>0</v>
      </c>
      <c r="G61" s="542">
        <v>8.975905442825402</v>
      </c>
      <c r="H61" s="542"/>
      <c r="I61" s="542"/>
      <c r="J61" s="542"/>
      <c r="K61" s="542"/>
      <c r="L61" s="547"/>
    </row>
    <row r="62" spans="1:12" ht="14.25">
      <c r="A62" s="121"/>
      <c r="B62" s="63" t="s">
        <v>431</v>
      </c>
      <c r="C62" s="553"/>
      <c r="D62" s="542"/>
      <c r="E62" s="542"/>
      <c r="F62" s="542"/>
      <c r="G62" s="566">
        <v>4.637433713393257</v>
      </c>
      <c r="H62" s="542"/>
      <c r="I62" s="542"/>
      <c r="J62" s="542"/>
      <c r="K62" s="542"/>
      <c r="L62" s="131"/>
    </row>
    <row r="63" spans="1:12" ht="14.25">
      <c r="A63" s="121"/>
      <c r="B63" s="63" t="s">
        <v>658</v>
      </c>
      <c r="C63" s="553"/>
      <c r="D63" s="542"/>
      <c r="E63" s="542">
        <v>7.1</v>
      </c>
      <c r="F63" s="542">
        <v>8</v>
      </c>
      <c r="G63" s="542">
        <v>19</v>
      </c>
      <c r="H63" s="542"/>
      <c r="I63" s="542"/>
      <c r="J63" s="542"/>
      <c r="K63" s="542"/>
      <c r="L63" s="131"/>
    </row>
    <row r="64" spans="2:12" ht="14.25">
      <c r="B64" s="63" t="s">
        <v>661</v>
      </c>
      <c r="E64" s="70">
        <v>1.2</v>
      </c>
      <c r="F64" s="70">
        <v>1.1</v>
      </c>
      <c r="G64" s="70">
        <v>1.2590000000000001</v>
      </c>
      <c r="H64" s="542"/>
      <c r="I64" s="542"/>
      <c r="J64" s="542"/>
      <c r="K64" s="542"/>
      <c r="L64" s="543"/>
    </row>
    <row r="65" spans="1:12" ht="14.25">
      <c r="A65" s="121"/>
      <c r="B65" s="77" t="s">
        <v>495</v>
      </c>
      <c r="C65" s="77"/>
      <c r="D65" s="542">
        <v>2029.1126162448595</v>
      </c>
      <c r="E65" s="542"/>
      <c r="F65" s="542"/>
      <c r="G65" s="542"/>
      <c r="H65" s="542"/>
      <c r="I65" s="542"/>
      <c r="J65" s="542"/>
      <c r="K65" s="542"/>
      <c r="L65" s="543"/>
    </row>
    <row r="66" spans="2:7" ht="14.25">
      <c r="B66" s="63" t="s">
        <v>550</v>
      </c>
      <c r="E66" s="556">
        <v>0</v>
      </c>
      <c r="F66" s="556">
        <v>0</v>
      </c>
      <c r="G66" s="556">
        <v>0</v>
      </c>
    </row>
    <row r="67" spans="2:12" ht="14.25">
      <c r="B67" s="63" t="s">
        <v>551</v>
      </c>
      <c r="E67" s="556">
        <v>0</v>
      </c>
      <c r="F67" s="556">
        <v>0</v>
      </c>
      <c r="G67" s="556">
        <v>0</v>
      </c>
      <c r="I67" s="543"/>
      <c r="L67" s="543"/>
    </row>
    <row r="68" spans="9:12" ht="14.25">
      <c r="I68" s="543"/>
      <c r="J68" s="543"/>
      <c r="L68" s="543"/>
    </row>
    <row r="69" spans="2:12" ht="14.25">
      <c r="B69" s="69"/>
      <c r="I69" s="543"/>
      <c r="J69" s="543"/>
      <c r="L69" s="543"/>
    </row>
    <row r="70" spans="2:10" ht="14.25">
      <c r="B70" s="554" t="s">
        <v>785</v>
      </c>
      <c r="E70" s="568">
        <v>390.5</v>
      </c>
      <c r="F70" s="568">
        <v>405.1</v>
      </c>
      <c r="G70" s="568">
        <v>500.1</v>
      </c>
      <c r="J70" s="543"/>
    </row>
    <row r="71" spans="2:7" ht="14.25">
      <c r="B71" s="554" t="s">
        <v>66</v>
      </c>
      <c r="E71" s="568">
        <v>-126.5</v>
      </c>
      <c r="F71" s="568">
        <v>-133.7</v>
      </c>
      <c r="G71" s="568">
        <v>-152.6</v>
      </c>
    </row>
    <row r="72" spans="2:12" ht="14.25">
      <c r="B72" s="554" t="s">
        <v>67</v>
      </c>
      <c r="E72" s="568">
        <v>-41.998999999999995</v>
      </c>
      <c r="F72" s="568">
        <v>-48.878</v>
      </c>
      <c r="G72" s="568">
        <v>-51.397</v>
      </c>
      <c r="H72" s="121"/>
      <c r="I72" s="121"/>
      <c r="J72" s="121"/>
      <c r="K72" s="121"/>
      <c r="L72" s="121"/>
    </row>
    <row r="73" spans="2:12" ht="14.25">
      <c r="B73" s="554" t="s">
        <v>8</v>
      </c>
      <c r="E73" s="568">
        <v>-41.51130994649999</v>
      </c>
      <c r="F73" s="568">
        <v>-41.89834166666667</v>
      </c>
      <c r="G73" s="568">
        <v>-45.19174625000001</v>
      </c>
      <c r="H73" s="71"/>
      <c r="I73" s="71"/>
      <c r="J73" s="71"/>
      <c r="K73" s="71"/>
      <c r="L73" s="71"/>
    </row>
    <row r="74" spans="2:12" ht="14.25">
      <c r="B74" s="554" t="s">
        <v>754</v>
      </c>
      <c r="E74" s="568">
        <v>2.1</v>
      </c>
      <c r="F74" s="568">
        <v>2.3</v>
      </c>
      <c r="G74" s="568">
        <v>-1.1</v>
      </c>
      <c r="H74" s="71"/>
      <c r="I74" s="71"/>
      <c r="J74" s="71"/>
      <c r="K74" s="71"/>
      <c r="L74" s="71"/>
    </row>
    <row r="75" spans="2:12" ht="14.25">
      <c r="B75" s="554" t="s">
        <v>57</v>
      </c>
      <c r="E75" s="568">
        <v>-60.2</v>
      </c>
      <c r="F75" s="568">
        <v>-58.536</v>
      </c>
      <c r="G75" s="568">
        <v>-58.06</v>
      </c>
      <c r="H75" s="569"/>
      <c r="I75" s="569"/>
      <c r="J75" s="569"/>
      <c r="K75" s="569"/>
      <c r="L75" s="569"/>
    </row>
    <row r="76" spans="2:12" ht="14.25">
      <c r="B76" s="554" t="s">
        <v>162</v>
      </c>
      <c r="E76" s="568">
        <v>28.74293635</v>
      </c>
      <c r="F76" s="568">
        <v>47.457073251485305</v>
      </c>
      <c r="G76" s="568">
        <v>92.00920708750117</v>
      </c>
      <c r="H76" s="558"/>
      <c r="I76" s="558"/>
      <c r="J76" s="558"/>
      <c r="K76" s="558"/>
      <c r="L76" s="558"/>
    </row>
    <row r="77" spans="2:12" ht="14.25">
      <c r="B77" s="554" t="s">
        <v>586</v>
      </c>
      <c r="E77" s="568">
        <v>66.19871131324955</v>
      </c>
      <c r="F77" s="568">
        <v>71.9292414143501</v>
      </c>
      <c r="G77" s="568">
        <v>0</v>
      </c>
      <c r="H77" s="71"/>
      <c r="I77" s="71"/>
      <c r="J77" s="71"/>
      <c r="K77" s="71"/>
      <c r="L77" s="71"/>
    </row>
    <row r="78" spans="2:12" ht="14.25">
      <c r="B78" s="554" t="s">
        <v>584</v>
      </c>
      <c r="E78" s="568">
        <v>62.8461</v>
      </c>
      <c r="F78" s="568">
        <v>67.15335695027427</v>
      </c>
      <c r="G78" s="568">
        <v>68.54299421360686</v>
      </c>
      <c r="H78" s="558"/>
      <c r="I78" s="558"/>
      <c r="J78" s="558"/>
      <c r="K78" s="558"/>
      <c r="L78" s="558"/>
    </row>
    <row r="79" spans="2:12" ht="14.25">
      <c r="B79" s="554" t="s">
        <v>587</v>
      </c>
      <c r="E79" s="568">
        <v>28.852140063102077</v>
      </c>
      <c r="F79" s="568">
        <v>29.401993346941936</v>
      </c>
      <c r="G79" s="568">
        <v>0</v>
      </c>
      <c r="H79" s="71"/>
      <c r="I79" s="71"/>
      <c r="J79" s="71"/>
      <c r="K79" s="71"/>
      <c r="L79" s="71"/>
    </row>
    <row r="80" spans="2:12" ht="14.25">
      <c r="B80" s="554" t="s">
        <v>585</v>
      </c>
      <c r="E80" s="568">
        <v>40.8205</v>
      </c>
      <c r="F80" s="568">
        <v>49.773748371323045</v>
      </c>
      <c r="G80" s="568">
        <v>65.29043628168235</v>
      </c>
      <c r="H80" s="558"/>
      <c r="I80" s="558"/>
      <c r="J80" s="558"/>
      <c r="K80" s="558"/>
      <c r="L80" s="558"/>
    </row>
    <row r="81" spans="2:12" ht="14.25">
      <c r="B81" s="554" t="s">
        <v>588</v>
      </c>
      <c r="E81" s="568">
        <v>0</v>
      </c>
      <c r="F81" s="568">
        <v>0</v>
      </c>
      <c r="G81" s="568">
        <v>0</v>
      </c>
      <c r="H81" s="71"/>
      <c r="I81" s="71"/>
      <c r="J81" s="71"/>
      <c r="K81" s="71"/>
      <c r="L81" s="71"/>
    </row>
    <row r="82" spans="2:12" ht="14.25">
      <c r="B82" s="554" t="s">
        <v>589</v>
      </c>
      <c r="E82" s="568">
        <v>0</v>
      </c>
      <c r="F82" s="568">
        <v>0</v>
      </c>
      <c r="G82" s="568">
        <v>0</v>
      </c>
      <c r="H82" s="71"/>
      <c r="I82" s="71"/>
      <c r="J82" s="71"/>
      <c r="K82" s="71"/>
      <c r="L82" s="71"/>
    </row>
    <row r="83" spans="2:12" ht="14.25">
      <c r="B83" s="554" t="s">
        <v>598</v>
      </c>
      <c r="E83" s="568">
        <v>17.3</v>
      </c>
      <c r="F83" s="568">
        <v>18.5</v>
      </c>
      <c r="G83" s="568">
        <v>18.6</v>
      </c>
      <c r="H83" s="569"/>
      <c r="I83" s="569"/>
      <c r="J83" s="569"/>
      <c r="K83" s="569"/>
      <c r="L83" s="569"/>
    </row>
    <row r="84" spans="2:12" ht="14.25">
      <c r="B84" s="554" t="s">
        <v>163</v>
      </c>
      <c r="E84" s="568">
        <v>3.245788730131065</v>
      </c>
      <c r="F84" s="568">
        <v>3.163152736580727</v>
      </c>
      <c r="G84" s="568">
        <v>0</v>
      </c>
      <c r="H84" s="569"/>
      <c r="I84" s="569"/>
      <c r="J84" s="569"/>
      <c r="K84" s="569"/>
      <c r="L84" s="569"/>
    </row>
    <row r="85" spans="2:7" ht="14.25">
      <c r="B85" s="554" t="s">
        <v>607</v>
      </c>
      <c r="E85" s="568">
        <v>6.302663862151772</v>
      </c>
      <c r="F85" s="568">
        <v>6.3</v>
      </c>
      <c r="G85" s="568">
        <v>10.4</v>
      </c>
    </row>
    <row r="86" spans="2:7" ht="14.25">
      <c r="B86" s="554" t="s">
        <v>481</v>
      </c>
      <c r="E86" s="70">
        <v>5.875364617260127</v>
      </c>
      <c r="F86" s="70">
        <v>5.889130434782608</v>
      </c>
      <c r="G86" s="70">
        <v>8.955555555555556</v>
      </c>
    </row>
    <row r="87" spans="2:7" ht="14.25">
      <c r="B87" s="554" t="s">
        <v>657</v>
      </c>
      <c r="E87" s="568">
        <v>7.1</v>
      </c>
      <c r="F87" s="568">
        <v>8</v>
      </c>
      <c r="G87" s="568">
        <v>19</v>
      </c>
    </row>
    <row r="88" spans="2:7" ht="14.25">
      <c r="B88" s="63" t="s">
        <v>667</v>
      </c>
      <c r="E88" s="542">
        <v>1.2</v>
      </c>
      <c r="F88" s="542">
        <v>1.1</v>
      </c>
      <c r="G88" s="542">
        <v>1.2590000000000001</v>
      </c>
    </row>
    <row r="89" spans="5:7" ht="14.25">
      <c r="E89" s="542"/>
      <c r="F89" s="542"/>
      <c r="G89" s="542"/>
    </row>
    <row r="90" spans="5:7" ht="14.25">
      <c r="E90" s="542"/>
      <c r="F90" s="542"/>
      <c r="G90" s="542"/>
    </row>
    <row r="91" spans="2:7" ht="14.25">
      <c r="B91" s="69" t="s">
        <v>164</v>
      </c>
      <c r="E91" s="542"/>
      <c r="F91" s="542"/>
      <c r="G91" s="542"/>
    </row>
    <row r="92" spans="3:4" ht="14.25">
      <c r="C92" s="555"/>
      <c r="D92" s="556"/>
    </row>
    <row r="93" spans="2:7" ht="14.25">
      <c r="B93" s="554" t="s">
        <v>178</v>
      </c>
      <c r="C93" s="555"/>
      <c r="D93" s="556"/>
      <c r="E93" s="556">
        <v>0</v>
      </c>
      <c r="F93" s="556">
        <v>0</v>
      </c>
      <c r="G93" s="542">
        <v>0</v>
      </c>
    </row>
    <row r="94" spans="2:7" ht="14.25">
      <c r="B94" s="554" t="s">
        <v>179</v>
      </c>
      <c r="C94" s="555"/>
      <c r="D94" s="556"/>
      <c r="E94" s="556">
        <v>3</v>
      </c>
      <c r="F94" s="556">
        <v>3.1</v>
      </c>
      <c r="G94" s="542">
        <v>0</v>
      </c>
    </row>
    <row r="95" spans="2:7" ht="14.25">
      <c r="B95" s="554" t="s">
        <v>180</v>
      </c>
      <c r="C95" s="555"/>
      <c r="D95" s="556"/>
      <c r="E95" s="556">
        <v>-0.4</v>
      </c>
      <c r="F95" s="556">
        <v>-0.9</v>
      </c>
      <c r="G95" s="542">
        <v>-1.2</v>
      </c>
    </row>
    <row r="96" spans="2:7" ht="14.25">
      <c r="B96" s="554" t="s">
        <v>192</v>
      </c>
      <c r="C96" s="555"/>
      <c r="D96" s="556"/>
      <c r="E96" s="556">
        <v>0</v>
      </c>
      <c r="F96" s="556">
        <v>0</v>
      </c>
      <c r="G96" s="542">
        <v>0</v>
      </c>
    </row>
    <row r="97" spans="2:7" ht="14.25">
      <c r="B97" s="554" t="s">
        <v>149</v>
      </c>
      <c r="E97" s="556">
        <v>0.1</v>
      </c>
      <c r="F97" s="556">
        <v>0.1</v>
      </c>
      <c r="G97" s="542">
        <v>0.1</v>
      </c>
    </row>
    <row r="98" spans="2:12" ht="25.5">
      <c r="B98" s="238" t="s">
        <v>231</v>
      </c>
      <c r="E98" s="570">
        <v>0.9322033898305085</v>
      </c>
      <c r="F98" s="570">
        <v>0.9347826086956521</v>
      </c>
      <c r="G98" s="570">
        <v>0.861111111111111</v>
      </c>
      <c r="H98" s="557">
        <v>-1.3684638011666679</v>
      </c>
      <c r="I98" s="557">
        <v>-1.2723358572061843</v>
      </c>
      <c r="J98" s="557">
        <v>-0.7708492443054892</v>
      </c>
      <c r="K98" s="557">
        <v>-0.6451352428993221</v>
      </c>
      <c r="L98" s="557">
        <v>-0.7603866696765545</v>
      </c>
    </row>
    <row r="99" spans="2:7" ht="14.25">
      <c r="B99" s="582"/>
      <c r="E99" s="575"/>
      <c r="F99" s="575"/>
      <c r="G99" s="575"/>
    </row>
    <row r="100" spans="2:7" ht="14.25">
      <c r="B100" s="582"/>
      <c r="E100" s="575"/>
      <c r="F100" s="575"/>
      <c r="G100" s="575"/>
    </row>
    <row r="101" spans="2:7" ht="14.25">
      <c r="B101" s="582"/>
      <c r="E101" s="575"/>
      <c r="F101" s="575"/>
      <c r="G101" s="575"/>
    </row>
    <row r="102" ht="14.25">
      <c r="B102" s="110" t="s">
        <v>165</v>
      </c>
    </row>
    <row r="103" spans="2:12" ht="14.25">
      <c r="B103" s="63" t="s">
        <v>636</v>
      </c>
      <c r="E103" s="563">
        <v>285.6</v>
      </c>
      <c r="F103" s="563">
        <v>278.46</v>
      </c>
      <c r="G103" s="563">
        <v>271.32</v>
      </c>
      <c r="H103" s="563">
        <v>264.18</v>
      </c>
      <c r="I103" s="563">
        <v>257.04</v>
      </c>
      <c r="J103" s="563">
        <v>249.9</v>
      </c>
      <c r="K103" s="563">
        <v>242.76</v>
      </c>
      <c r="L103" s="563">
        <v>235.62</v>
      </c>
    </row>
    <row r="104" spans="2:12" ht="14.25">
      <c r="B104" s="63" t="s">
        <v>647</v>
      </c>
      <c r="E104" s="563">
        <v>2184.2</v>
      </c>
      <c r="F104" s="563">
        <v>2199.8817386729634</v>
      </c>
      <c r="G104" s="563">
        <v>2285.1521483653505</v>
      </c>
      <c r="H104" s="563">
        <v>2333.838011699217</v>
      </c>
      <c r="I104" s="563">
        <v>2454.751315561338</v>
      </c>
      <c r="J104" s="563">
        <v>2491.0369438592966</v>
      </c>
      <c r="K104" s="563">
        <v>2519.4936510388757</v>
      </c>
      <c r="L104" s="563">
        <v>2590.3088641262293</v>
      </c>
    </row>
    <row r="105" spans="2:13" ht="14.25">
      <c r="B105" s="63" t="s">
        <v>111</v>
      </c>
      <c r="E105" s="71"/>
      <c r="F105" s="71"/>
      <c r="G105" s="71"/>
      <c r="H105" s="71"/>
      <c r="I105" s="71"/>
      <c r="J105" s="71"/>
      <c r="K105" s="71"/>
      <c r="L105" s="71"/>
      <c r="M105" s="77"/>
    </row>
    <row r="106" ht="14.25"/>
    <row r="107" spans="2:12" ht="14.25">
      <c r="B107" s="63" t="s">
        <v>0</v>
      </c>
      <c r="E107" s="571" t="s">
        <v>21</v>
      </c>
      <c r="F107" s="571" t="s">
        <v>21</v>
      </c>
      <c r="G107" s="571" t="s">
        <v>21</v>
      </c>
      <c r="H107" s="571" t="s">
        <v>21</v>
      </c>
      <c r="I107" s="571" t="s">
        <v>21</v>
      </c>
      <c r="J107" s="571" t="s">
        <v>21</v>
      </c>
      <c r="K107" s="571" t="s">
        <v>21</v>
      </c>
      <c r="L107" s="571" t="s">
        <v>21</v>
      </c>
    </row>
    <row r="108" spans="2:12" ht="14.25">
      <c r="B108" s="63" t="s">
        <v>756</v>
      </c>
      <c r="E108" s="563">
        <v>28.7</v>
      </c>
      <c r="F108" s="563">
        <v>38.543150684931504</v>
      </c>
      <c r="G108" s="563">
        <v>47.658752723732945</v>
      </c>
      <c r="H108" s="563">
        <v>54.050583784088744</v>
      </c>
      <c r="I108" s="563">
        <v>55.3177760737763</v>
      </c>
      <c r="J108" s="563">
        <v>56.614677132298944</v>
      </c>
      <c r="K108" s="563">
        <v>57.941983468744446</v>
      </c>
      <c r="L108" s="563">
        <v>59.30040792155138</v>
      </c>
    </row>
    <row r="109" spans="2:12" ht="14.25">
      <c r="B109" s="63" t="s">
        <v>637</v>
      </c>
      <c r="E109" s="571">
        <v>104.9</v>
      </c>
      <c r="F109" s="571">
        <v>104.9</v>
      </c>
      <c r="G109" s="571">
        <v>104.9</v>
      </c>
      <c r="H109" s="571">
        <v>104.9</v>
      </c>
      <c r="I109" s="571">
        <v>104.9</v>
      </c>
      <c r="J109" s="571">
        <v>104.9</v>
      </c>
      <c r="K109" s="571">
        <v>104.9</v>
      </c>
      <c r="L109" s="571">
        <v>104.9</v>
      </c>
    </row>
    <row r="110" spans="2:12" ht="14.25">
      <c r="B110" s="63" t="s">
        <v>648</v>
      </c>
      <c r="E110" s="573">
        <v>0.3</v>
      </c>
      <c r="F110" s="573" t="s">
        <v>21</v>
      </c>
      <c r="G110" s="573" t="s">
        <v>21</v>
      </c>
      <c r="H110" s="573" t="s">
        <v>21</v>
      </c>
      <c r="I110" s="573" t="s">
        <v>21</v>
      </c>
      <c r="J110" s="573" t="s">
        <v>21</v>
      </c>
      <c r="K110" s="573" t="s">
        <v>21</v>
      </c>
      <c r="L110" s="573" t="s">
        <v>21</v>
      </c>
    </row>
    <row r="111" spans="2:12" ht="14.25">
      <c r="B111" s="63" t="s">
        <v>649</v>
      </c>
      <c r="E111" s="573" t="s">
        <v>21</v>
      </c>
      <c r="F111" s="573" t="s">
        <v>21</v>
      </c>
      <c r="G111" s="573" t="s">
        <v>21</v>
      </c>
      <c r="H111" s="573" t="s">
        <v>21</v>
      </c>
      <c r="I111" s="573" t="s">
        <v>21</v>
      </c>
      <c r="J111" s="573" t="s">
        <v>21</v>
      </c>
      <c r="K111" s="573" t="s">
        <v>21</v>
      </c>
      <c r="L111" s="573" t="s">
        <v>21</v>
      </c>
    </row>
    <row r="112" spans="2:12" ht="14.25">
      <c r="B112" s="63" t="s">
        <v>638</v>
      </c>
      <c r="E112" s="573" t="s">
        <v>21</v>
      </c>
      <c r="F112" s="573" t="s">
        <v>21</v>
      </c>
      <c r="G112" s="573" t="s">
        <v>21</v>
      </c>
      <c r="H112" s="573" t="s">
        <v>21</v>
      </c>
      <c r="I112" s="573" t="s">
        <v>21</v>
      </c>
      <c r="J112" s="573" t="s">
        <v>21</v>
      </c>
      <c r="K112" s="573" t="s">
        <v>21</v>
      </c>
      <c r="L112" s="573" t="s">
        <v>21</v>
      </c>
    </row>
    <row r="113" spans="5:8" ht="14.25">
      <c r="E113" s="77"/>
      <c r="F113" s="77"/>
      <c r="G113" s="77"/>
      <c r="H113" s="77"/>
    </row>
    <row r="114" spans="2:12" ht="14.25">
      <c r="B114" s="63" t="s">
        <v>639</v>
      </c>
      <c r="E114" s="573" t="s">
        <v>21</v>
      </c>
      <c r="F114" s="573" t="s">
        <v>21</v>
      </c>
      <c r="G114" s="573" t="s">
        <v>21</v>
      </c>
      <c r="H114" s="573" t="s">
        <v>21</v>
      </c>
      <c r="I114" s="573" t="s">
        <v>21</v>
      </c>
      <c r="J114" s="573" t="s">
        <v>21</v>
      </c>
      <c r="K114" s="573" t="s">
        <v>21</v>
      </c>
      <c r="L114" s="573" t="s">
        <v>21</v>
      </c>
    </row>
    <row r="115" spans="2:12" ht="14.25">
      <c r="B115" s="63" t="s">
        <v>640</v>
      </c>
      <c r="E115" s="574">
        <v>-21.9</v>
      </c>
      <c r="F115" s="574">
        <v>-35.41690260697852</v>
      </c>
      <c r="G115" s="574">
        <v>-45.95617131002717</v>
      </c>
      <c r="H115" s="574">
        <v>-45.08260523099308</v>
      </c>
      <c r="I115" s="574">
        <v>-56.00759134622558</v>
      </c>
      <c r="J115" s="574">
        <v>-49.32071048031139</v>
      </c>
      <c r="K115" s="574">
        <v>-50.93777173245082</v>
      </c>
      <c r="L115" s="574">
        <v>-56.9869176271895</v>
      </c>
    </row>
    <row r="116" spans="2:12" ht="14.25">
      <c r="B116" s="63" t="s">
        <v>641</v>
      </c>
      <c r="E116" s="574">
        <v>-120.6</v>
      </c>
      <c r="F116" s="574">
        <v>-120.6</v>
      </c>
      <c r="G116" s="574">
        <v>-120.6</v>
      </c>
      <c r="H116" s="574">
        <v>-120.6</v>
      </c>
      <c r="I116" s="574">
        <v>-120.6</v>
      </c>
      <c r="J116" s="574">
        <v>-120.6</v>
      </c>
      <c r="K116" s="574">
        <v>-120.6</v>
      </c>
      <c r="L116" s="574">
        <v>-120.6</v>
      </c>
    </row>
    <row r="117" spans="5:12" ht="14.25">
      <c r="E117" s="77"/>
      <c r="F117" s="77"/>
      <c r="G117" s="77"/>
      <c r="H117" s="77"/>
      <c r="I117" s="77"/>
      <c r="J117" s="77"/>
      <c r="K117" s="77"/>
      <c r="L117" s="77"/>
    </row>
    <row r="118" spans="2:12" ht="14.25">
      <c r="B118" s="63" t="s">
        <v>650</v>
      </c>
      <c r="E118" s="574">
        <v>-1567.1</v>
      </c>
      <c r="F118" s="574">
        <v>-1666.9657879225622</v>
      </c>
      <c r="G118" s="574">
        <v>-1796.3547105032776</v>
      </c>
      <c r="H118" s="574">
        <v>-1907.1978463345686</v>
      </c>
      <c r="I118" s="574">
        <v>-2088.044295124315</v>
      </c>
      <c r="J118" s="574">
        <v>-2208.6322038897206</v>
      </c>
      <c r="K118" s="574">
        <v>-2330.427917607112</v>
      </c>
      <c r="L118" s="574">
        <v>-2489.0591659813754</v>
      </c>
    </row>
    <row r="119" spans="2:12" ht="14.25">
      <c r="B119" s="63" t="s">
        <v>651</v>
      </c>
      <c r="E119" s="574">
        <v>-20.2</v>
      </c>
      <c r="F119" s="574">
        <v>-20.2</v>
      </c>
      <c r="G119" s="574">
        <v>-20.2</v>
      </c>
      <c r="H119" s="574">
        <v>-20.2</v>
      </c>
      <c r="I119" s="574">
        <v>-20.2</v>
      </c>
      <c r="J119" s="574">
        <v>-20.2</v>
      </c>
      <c r="K119" s="574">
        <v>-20.2</v>
      </c>
      <c r="L119" s="574">
        <v>-20.2</v>
      </c>
    </row>
    <row r="120" spans="2:12" ht="14.25">
      <c r="B120" s="63" t="s">
        <v>642</v>
      </c>
      <c r="E120" s="574">
        <v>-15.8</v>
      </c>
      <c r="F120" s="574">
        <v>-32.5971869790893</v>
      </c>
      <c r="G120" s="574">
        <v>-49.44274916483711</v>
      </c>
      <c r="H120" s="574">
        <v>-66.2692671934141</v>
      </c>
      <c r="I120" s="574">
        <v>-82.91775344553768</v>
      </c>
      <c r="J120" s="574">
        <v>-99.40000039518284</v>
      </c>
      <c r="K120" s="574">
        <v>-115.90497501756701</v>
      </c>
      <c r="L120" s="574">
        <v>-132.421358855275</v>
      </c>
    </row>
    <row r="121" spans="2:12" ht="14.25">
      <c r="B121" s="63" t="s">
        <v>788</v>
      </c>
      <c r="E121" s="574">
        <v>-118.4</v>
      </c>
      <c r="F121" s="574">
        <v>-171.1577287131301</v>
      </c>
      <c r="G121" s="574">
        <v>-177.19390784337673</v>
      </c>
      <c r="H121" s="574">
        <v>-183.1885621212587</v>
      </c>
      <c r="I121" s="574">
        <v>-191.72205922394426</v>
      </c>
      <c r="J121" s="574">
        <v>-199.17862338600506</v>
      </c>
      <c r="K121" s="574">
        <v>-206.0375981899529</v>
      </c>
      <c r="L121" s="574">
        <v>-213.84249519448448</v>
      </c>
    </row>
    <row r="122" spans="2:12" ht="14.25">
      <c r="B122" s="63" t="s">
        <v>69</v>
      </c>
      <c r="E122" s="574" t="s">
        <v>21</v>
      </c>
      <c r="F122" s="574" t="s">
        <v>21</v>
      </c>
      <c r="G122" s="574" t="s">
        <v>21</v>
      </c>
      <c r="H122" s="574" t="s">
        <v>21</v>
      </c>
      <c r="I122" s="574" t="s">
        <v>21</v>
      </c>
      <c r="J122" s="574" t="s">
        <v>21</v>
      </c>
      <c r="K122" s="574" t="s">
        <v>21</v>
      </c>
      <c r="L122" s="574" t="s">
        <v>21</v>
      </c>
    </row>
    <row r="123" spans="2:12" ht="14.25">
      <c r="B123" s="63" t="s">
        <v>344</v>
      </c>
      <c r="E123" s="574">
        <v>-25.2</v>
      </c>
      <c r="F123" s="574">
        <v>-48.257999999999996</v>
      </c>
      <c r="G123" s="574">
        <v>-42.340999999999994</v>
      </c>
      <c r="H123" s="574">
        <v>-36.42399999999999</v>
      </c>
      <c r="I123" s="574">
        <v>-30.50699999999999</v>
      </c>
      <c r="J123" s="574">
        <v>-24.59</v>
      </c>
      <c r="K123" s="574">
        <v>-18.672999999999988</v>
      </c>
      <c r="L123" s="574">
        <v>-12.755999999999988</v>
      </c>
    </row>
    <row r="124" spans="2:12" ht="14.25">
      <c r="B124" s="63" t="s">
        <v>643</v>
      </c>
      <c r="E124" s="574">
        <v>-14</v>
      </c>
      <c r="F124" s="574">
        <v>-14</v>
      </c>
      <c r="G124" s="574">
        <v>-14</v>
      </c>
      <c r="H124" s="574">
        <v>-13.5</v>
      </c>
      <c r="I124" s="574">
        <v>-13</v>
      </c>
      <c r="J124" s="574">
        <v>-12.5</v>
      </c>
      <c r="K124" s="574">
        <v>-12</v>
      </c>
      <c r="L124" s="574">
        <v>-11.5</v>
      </c>
    </row>
    <row r="125" spans="2:12" ht="14.25">
      <c r="B125" s="63" t="s">
        <v>653</v>
      </c>
      <c r="E125" s="574" t="s">
        <v>21</v>
      </c>
      <c r="F125" s="574" t="s">
        <v>21</v>
      </c>
      <c r="G125" s="574" t="s">
        <v>21</v>
      </c>
      <c r="H125" s="574" t="s">
        <v>21</v>
      </c>
      <c r="I125" s="574" t="s">
        <v>21</v>
      </c>
      <c r="J125" s="574" t="s">
        <v>21</v>
      </c>
      <c r="K125" s="574" t="s">
        <v>21</v>
      </c>
      <c r="L125" s="574" t="s">
        <v>21</v>
      </c>
    </row>
    <row r="126" spans="2:12" ht="14.25">
      <c r="B126" s="63" t="s">
        <v>117</v>
      </c>
      <c r="E126" s="574">
        <v>-161.6</v>
      </c>
      <c r="F126" s="574">
        <v>-147.4871610216216</v>
      </c>
      <c r="G126" s="574">
        <v>-119.37432204324323</v>
      </c>
      <c r="H126" s="574">
        <v>-105.26148306486485</v>
      </c>
      <c r="I126" s="574">
        <v>-91.14864408648647</v>
      </c>
      <c r="J126" s="574">
        <v>-77.0358051081081</v>
      </c>
      <c r="K126" s="574">
        <v>-62.922966129729716</v>
      </c>
      <c r="L126" s="574">
        <v>-48.81012715135134</v>
      </c>
    </row>
    <row r="127" spans="5:12" ht="14.25">
      <c r="E127" s="77"/>
      <c r="F127" s="77"/>
      <c r="G127" s="77"/>
      <c r="H127" s="77"/>
      <c r="I127" s="77"/>
      <c r="J127" s="77"/>
      <c r="K127" s="77"/>
      <c r="L127" s="77"/>
    </row>
    <row r="128" spans="2:12" ht="14.25">
      <c r="B128" s="63" t="s">
        <v>654</v>
      </c>
      <c r="E128" s="574">
        <v>160.2</v>
      </c>
      <c r="F128" s="574">
        <v>160.2</v>
      </c>
      <c r="G128" s="574">
        <v>160.2</v>
      </c>
      <c r="H128" s="574">
        <v>160.2</v>
      </c>
      <c r="I128" s="574">
        <v>160.2</v>
      </c>
      <c r="J128" s="574">
        <v>160.2</v>
      </c>
      <c r="K128" s="574">
        <v>160.2</v>
      </c>
      <c r="L128" s="574">
        <v>160.2</v>
      </c>
    </row>
    <row r="129" spans="2:12" ht="14.25">
      <c r="B129" s="63" t="s">
        <v>96</v>
      </c>
      <c r="E129" s="574">
        <v>378.9</v>
      </c>
      <c r="F129" s="574">
        <v>205.10212211451278</v>
      </c>
      <c r="G129" s="574">
        <v>163.56804022432107</v>
      </c>
      <c r="H129" s="574">
        <v>99.24483153820606</v>
      </c>
      <c r="I129" s="574">
        <v>17.861748408604853</v>
      </c>
      <c r="J129" s="574">
        <v>-69.00572226773345</v>
      </c>
      <c r="K129" s="574">
        <v>-172.60859416919266</v>
      </c>
      <c r="L129" s="574">
        <v>-276.0467927618958</v>
      </c>
    </row>
    <row r="130" spans="2:12" ht="14.25">
      <c r="B130" s="63" t="s">
        <v>645</v>
      </c>
      <c r="E130" s="574" t="s">
        <v>21</v>
      </c>
      <c r="F130" s="574" t="s">
        <v>21</v>
      </c>
      <c r="G130" s="574" t="s">
        <v>21</v>
      </c>
      <c r="H130" s="574" t="s">
        <v>21</v>
      </c>
      <c r="I130" s="574" t="s">
        <v>21</v>
      </c>
      <c r="J130" s="574" t="s">
        <v>21</v>
      </c>
      <c r="K130" s="574" t="s">
        <v>21</v>
      </c>
      <c r="L130" s="574" t="s">
        <v>21</v>
      </c>
    </row>
    <row r="132" spans="2:5" ht="14.25">
      <c r="B132" s="63" t="s">
        <v>655</v>
      </c>
      <c r="C132" s="124"/>
      <c r="D132" s="522"/>
      <c r="E132" s="116">
        <v>2</v>
      </c>
    </row>
    <row r="133" spans="2:5" ht="14.25">
      <c r="B133" s="63" t="s">
        <v>347</v>
      </c>
      <c r="E133" s="82"/>
    </row>
    <row r="134" spans="2:5" ht="14.25">
      <c r="B134" s="63" t="s">
        <v>349</v>
      </c>
      <c r="E134" s="82"/>
    </row>
    <row r="135" spans="2:7" ht="14.25">
      <c r="B135" s="63" t="s">
        <v>368</v>
      </c>
      <c r="F135" s="568">
        <v>0</v>
      </c>
      <c r="G135" s="568">
        <v>0</v>
      </c>
    </row>
    <row r="136" spans="2:7" ht="14.25">
      <c r="B136" s="63" t="s">
        <v>499</v>
      </c>
      <c r="F136" s="568">
        <v>0</v>
      </c>
      <c r="G136" s="568">
        <v>0</v>
      </c>
    </row>
    <row r="137" spans="6:7" ht="14.25">
      <c r="F137" s="575"/>
      <c r="G137" s="575"/>
    </row>
    <row r="138" spans="2:7" ht="14.25">
      <c r="B138" s="63" t="s">
        <v>745</v>
      </c>
      <c r="F138" s="575"/>
      <c r="G138" s="575"/>
    </row>
    <row r="139" spans="2:7" ht="14.25">
      <c r="B139" s="63" t="s">
        <v>746</v>
      </c>
      <c r="F139" s="575"/>
      <c r="G139" s="568">
        <v>0</v>
      </c>
    </row>
    <row r="140" spans="2:7" ht="14.25">
      <c r="B140" s="63" t="s">
        <v>747</v>
      </c>
      <c r="F140" s="575"/>
      <c r="G140" s="568">
        <v>1</v>
      </c>
    </row>
    <row r="141" spans="2:7" ht="14.25">
      <c r="B141" s="63" t="s">
        <v>430</v>
      </c>
      <c r="E141" s="575"/>
      <c r="F141" s="575"/>
      <c r="G141" s="575"/>
    </row>
    <row r="143" ht="14.25">
      <c r="B143" s="216" t="s">
        <v>166</v>
      </c>
    </row>
    <row r="145" ht="14.25">
      <c r="B145" s="63" t="s">
        <v>196</v>
      </c>
    </row>
    <row r="146" spans="2:6" ht="14.25">
      <c r="B146" s="63" t="s">
        <v>197</v>
      </c>
      <c r="E146" s="577">
        <v>18.321912611012575</v>
      </c>
      <c r="F146" s="577">
        <v>23.60430878719111</v>
      </c>
    </row>
    <row r="147" spans="2:6" ht="14.25">
      <c r="B147" s="63" t="s">
        <v>148</v>
      </c>
      <c r="E147" s="577">
        <v>28.74293635</v>
      </c>
      <c r="F147" s="577">
        <v>47.457073251485305</v>
      </c>
    </row>
    <row r="148" spans="2:6" ht="14.25">
      <c r="B148" s="63" t="s">
        <v>198</v>
      </c>
      <c r="E148" s="577">
        <v>10.421023738987426</v>
      </c>
      <c r="F148" s="577">
        <v>23.852764464294197</v>
      </c>
    </row>
    <row r="149" spans="5:6" ht="14.25">
      <c r="E149" s="70"/>
      <c r="F149" s="70"/>
    </row>
    <row r="150" spans="2:6" ht="14.25">
      <c r="B150" s="63" t="s">
        <v>199</v>
      </c>
      <c r="E150" s="70"/>
      <c r="F150" s="70"/>
    </row>
    <row r="151" spans="2:6" ht="14.25">
      <c r="B151" s="63" t="s">
        <v>197</v>
      </c>
      <c r="E151" s="577">
        <v>28.852140063102077</v>
      </c>
      <c r="F151" s="577">
        <v>29.401993346941936</v>
      </c>
    </row>
    <row r="152" spans="2:6" ht="14.25">
      <c r="B152" s="63" t="s">
        <v>148</v>
      </c>
      <c r="E152" s="577">
        <v>40.8205</v>
      </c>
      <c r="F152" s="577">
        <v>49.773748371323045</v>
      </c>
    </row>
    <row r="153" spans="2:6" ht="14.25">
      <c r="B153" s="63" t="s">
        <v>303</v>
      </c>
      <c r="E153" s="578">
        <v>0</v>
      </c>
      <c r="F153" s="578">
        <v>0</v>
      </c>
    </row>
    <row r="154" spans="2:6" ht="14.25">
      <c r="B154" s="63" t="s">
        <v>304</v>
      </c>
      <c r="E154" s="577">
        <v>40.8205</v>
      </c>
      <c r="F154" s="577">
        <v>49.773748371323045</v>
      </c>
    </row>
    <row r="155" spans="2:6" ht="14.25">
      <c r="B155" s="63" t="s">
        <v>198</v>
      </c>
      <c r="E155" s="577">
        <v>11.968359936897926</v>
      </c>
      <c r="F155" s="577">
        <v>20.37175502438111</v>
      </c>
    </row>
    <row r="156" spans="5:6" ht="14.25">
      <c r="E156" s="70"/>
      <c r="F156" s="70"/>
    </row>
    <row r="157" spans="2:6" ht="14.25">
      <c r="B157" s="63" t="s">
        <v>200</v>
      </c>
      <c r="E157" s="70"/>
      <c r="F157" s="70"/>
    </row>
    <row r="158" spans="2:6" ht="14.25">
      <c r="B158" s="63" t="s">
        <v>201</v>
      </c>
      <c r="E158" s="577">
        <v>18.321912611012575</v>
      </c>
      <c r="F158" s="577">
        <v>23.60430878719111</v>
      </c>
    </row>
    <row r="159" spans="2:6" ht="14.25">
      <c r="B159" s="63" t="s">
        <v>202</v>
      </c>
      <c r="E159" s="577">
        <v>40.71129628689793</v>
      </c>
      <c r="F159" s="577">
        <v>67.82882827586641</v>
      </c>
    </row>
    <row r="160" spans="2:6" ht="14.25">
      <c r="B160" s="63" t="s">
        <v>205</v>
      </c>
      <c r="E160" s="577">
        <v>22.38938367588535</v>
      </c>
      <c r="F160" s="577">
        <v>44.224519488675305</v>
      </c>
    </row>
    <row r="162" spans="2:7" ht="14.25">
      <c r="B162" s="63" t="s">
        <v>541</v>
      </c>
      <c r="D162" s="89"/>
      <c r="E162" s="579">
        <v>0</v>
      </c>
      <c r="F162" s="579">
        <v>0</v>
      </c>
      <c r="G162" s="63" t="s">
        <v>167</v>
      </c>
    </row>
    <row r="163" spans="2:7" ht="14.25">
      <c r="B163" s="63" t="s">
        <v>542</v>
      </c>
      <c r="D163" s="89"/>
      <c r="E163" s="579">
        <v>18.9115634085582</v>
      </c>
      <c r="F163" s="579">
        <v>58.83472689674052</v>
      </c>
      <c r="G163" s="63" t="s">
        <v>167</v>
      </c>
    </row>
    <row r="164" spans="2:7" ht="14.25">
      <c r="B164" s="63" t="s">
        <v>543</v>
      </c>
      <c r="D164" s="89"/>
      <c r="E164" s="579">
        <v>1.848473888696822</v>
      </c>
      <c r="F164" s="579">
        <v>0.7567974164419572</v>
      </c>
      <c r="G164" s="63" t="s">
        <v>167</v>
      </c>
    </row>
    <row r="165" spans="2:7" ht="14.25">
      <c r="B165" s="63" t="s">
        <v>336</v>
      </c>
      <c r="D165" s="89"/>
      <c r="E165" s="579">
        <v>0</v>
      </c>
      <c r="F165" s="579">
        <v>0</v>
      </c>
      <c r="G165" s="63" t="s">
        <v>167</v>
      </c>
    </row>
    <row r="166" spans="5:6" ht="14.25">
      <c r="E166" s="70"/>
      <c r="F166" s="70"/>
    </row>
    <row r="167" ht="14.25">
      <c r="B167" s="63" t="s">
        <v>210</v>
      </c>
    </row>
    <row r="168" spans="2:7" ht="14.25">
      <c r="B168" s="63" t="s">
        <v>211</v>
      </c>
      <c r="G168" s="577">
        <v>92.00920708750115</v>
      </c>
    </row>
    <row r="169" spans="2:7" ht="14.25">
      <c r="B169" s="63" t="s">
        <v>212</v>
      </c>
      <c r="G169" s="577">
        <v>-2.422957197668808</v>
      </c>
    </row>
    <row r="170" spans="2:7" ht="14.25">
      <c r="B170" s="63" t="s">
        <v>215</v>
      </c>
      <c r="G170" s="577">
        <v>89.58624988983235</v>
      </c>
    </row>
    <row r="171" spans="2:7" ht="14.25">
      <c r="B171" s="63" t="s">
        <v>217</v>
      </c>
      <c r="G171" s="577">
        <v>65.29043628168235</v>
      </c>
    </row>
    <row r="172" spans="2:7" ht="14.25">
      <c r="B172" s="63" t="s">
        <v>218</v>
      </c>
      <c r="G172" s="577">
        <v>-5.920037219288588</v>
      </c>
    </row>
    <row r="173" spans="2:7" ht="14.25">
      <c r="B173" s="63" t="s">
        <v>224</v>
      </c>
      <c r="G173" s="577">
        <v>59.37039906239376</v>
      </c>
    </row>
    <row r="174" spans="2:7" ht="14.25">
      <c r="B174" s="63" t="s">
        <v>213</v>
      </c>
      <c r="G174" s="577">
        <v>68.49669839055478</v>
      </c>
    </row>
    <row r="175" spans="2:7" ht="14.25">
      <c r="B175" s="63" t="s">
        <v>214</v>
      </c>
      <c r="G175" s="577">
        <v>-4.066283829764345</v>
      </c>
    </row>
    <row r="176" spans="2:7" ht="14.25">
      <c r="B176" s="63" t="s">
        <v>216</v>
      </c>
      <c r="G176" s="577">
        <v>64.43041456079044</v>
      </c>
    </row>
    <row r="179" spans="1:2" s="77" customFormat="1" ht="14.25">
      <c r="A179" s="216"/>
      <c r="B179" s="216" t="s">
        <v>168</v>
      </c>
    </row>
    <row r="180" spans="1:2" ht="14.25">
      <c r="A180" s="216"/>
      <c r="B180" s="259" t="s">
        <v>408</v>
      </c>
    </row>
    <row r="181" spans="2:7" ht="14.25">
      <c r="B181" s="63" t="s">
        <v>434</v>
      </c>
      <c r="D181" s="63" t="s">
        <v>236</v>
      </c>
      <c r="G181" s="70">
        <v>0.6874289193468248</v>
      </c>
    </row>
    <row r="182" spans="2:7" ht="14.25">
      <c r="B182" s="63" t="s">
        <v>235</v>
      </c>
      <c r="D182" s="63" t="s">
        <v>237</v>
      </c>
      <c r="G182" s="70">
        <v>1.8408515587158896</v>
      </c>
    </row>
    <row r="184" spans="2:7" ht="14.25">
      <c r="B184" s="77" t="s">
        <v>598</v>
      </c>
      <c r="D184" s="63" t="s">
        <v>238</v>
      </c>
      <c r="G184" s="569">
        <v>-16.79914249469845</v>
      </c>
    </row>
    <row r="185" spans="2:7" ht="14.25">
      <c r="B185" s="77" t="s">
        <v>669</v>
      </c>
      <c r="D185" s="63" t="s">
        <v>240</v>
      </c>
      <c r="G185" s="569">
        <v>-10.986441451625923</v>
      </c>
    </row>
    <row r="186" spans="2:7" ht="14.25">
      <c r="B186" s="63" t="s">
        <v>307</v>
      </c>
      <c r="D186" s="63" t="s">
        <v>239</v>
      </c>
      <c r="G186" s="557">
        <v>-122.34078857029462</v>
      </c>
    </row>
    <row r="187" ht="14.25">
      <c r="A187" s="216"/>
    </row>
    <row r="188" spans="2:7" ht="14.25">
      <c r="B188" s="77" t="s">
        <v>729</v>
      </c>
      <c r="D188" s="63" t="s">
        <v>730</v>
      </c>
      <c r="G188" s="70">
        <v>0</v>
      </c>
    </row>
    <row r="189" spans="2:7" ht="14.25">
      <c r="B189" s="77" t="s">
        <v>731</v>
      </c>
      <c r="D189" s="132" t="s">
        <v>452</v>
      </c>
      <c r="G189" s="70">
        <v>0</v>
      </c>
    </row>
    <row r="190" spans="2:7" ht="14.25">
      <c r="B190" s="77" t="s">
        <v>109</v>
      </c>
      <c r="D190" s="132" t="s">
        <v>452</v>
      </c>
      <c r="G190" s="401">
        <v>-0.6246213829653422</v>
      </c>
    </row>
    <row r="191" spans="2:7" ht="14.25">
      <c r="B191" s="77" t="s">
        <v>409</v>
      </c>
      <c r="G191" s="63">
        <v>9.50956371357043</v>
      </c>
    </row>
    <row r="193" ht="14.25">
      <c r="B193" s="259" t="s">
        <v>412</v>
      </c>
    </row>
    <row r="194" spans="2:6" ht="14.25">
      <c r="B194" s="98" t="s">
        <v>696</v>
      </c>
      <c r="E194" s="563">
        <v>1.4209217817814224</v>
      </c>
      <c r="F194" s="563">
        <v>1.3777062114634042</v>
      </c>
    </row>
    <row r="195" ht="14.25">
      <c r="B195" s="69"/>
    </row>
    <row r="196" spans="2:4" ht="14.25">
      <c r="B196" s="63" t="s">
        <v>693</v>
      </c>
      <c r="D196" s="563">
        <v>2029.1126162448595</v>
      </c>
    </row>
    <row r="197" spans="2:4" ht="14.25">
      <c r="B197" s="63" t="s">
        <v>694</v>
      </c>
      <c r="D197" s="563">
        <v>17.517353047567035</v>
      </c>
    </row>
    <row r="199" spans="2:11" ht="14.25">
      <c r="B199" s="63" t="s">
        <v>241</v>
      </c>
      <c r="D199" s="63" t="s">
        <v>242</v>
      </c>
      <c r="E199" s="563">
        <v>2028.2864053183162</v>
      </c>
      <c r="G199" s="172"/>
      <c r="H199" s="70"/>
      <c r="I199" s="70"/>
      <c r="J199" s="70"/>
      <c r="K199" s="70"/>
    </row>
    <row r="200" spans="2:11" ht="14.25">
      <c r="B200" s="63" t="s">
        <v>243</v>
      </c>
      <c r="D200" s="63" t="s">
        <v>248</v>
      </c>
      <c r="E200" s="563">
        <v>2048.5121889181496</v>
      </c>
      <c r="G200" s="172"/>
      <c r="H200" s="70"/>
      <c r="I200" s="70"/>
      <c r="J200" s="70"/>
      <c r="K200" s="70"/>
    </row>
    <row r="201" spans="2:11" ht="14.25">
      <c r="B201" s="63" t="s">
        <v>249</v>
      </c>
      <c r="D201" s="63" t="s">
        <v>250</v>
      </c>
      <c r="E201" s="563">
        <v>2029.1126162448595</v>
      </c>
      <c r="G201" s="172"/>
      <c r="H201" s="70"/>
      <c r="I201" s="70"/>
      <c r="J201" s="70"/>
      <c r="K201" s="70"/>
    </row>
    <row r="202" spans="2:11" ht="14.25">
      <c r="B202" s="63" t="s">
        <v>251</v>
      </c>
      <c r="D202" s="63" t="s">
        <v>252</v>
      </c>
      <c r="E202" s="563">
        <v>-209.77668025087831</v>
      </c>
      <c r="G202" s="172"/>
      <c r="H202" s="70"/>
      <c r="I202" s="70"/>
      <c r="J202" s="70"/>
      <c r="K202" s="70"/>
    </row>
    <row r="203" spans="2:11" ht="14.25">
      <c r="B203" s="63" t="s">
        <v>253</v>
      </c>
      <c r="D203" s="63" t="s">
        <v>254</v>
      </c>
      <c r="E203" s="563">
        <v>213.64033605531472</v>
      </c>
      <c r="G203" s="172"/>
      <c r="H203" s="70"/>
      <c r="I203" s="70"/>
      <c r="J203" s="70"/>
      <c r="K203" s="70"/>
    </row>
    <row r="204" spans="2:11" ht="14.25">
      <c r="B204" s="63" t="s">
        <v>255</v>
      </c>
      <c r="D204" s="63" t="s">
        <v>256</v>
      </c>
      <c r="E204" s="563">
        <v>-4.689866730979832</v>
      </c>
      <c r="G204" s="172"/>
      <c r="H204" s="70"/>
      <c r="I204" s="70"/>
      <c r="J204" s="70"/>
      <c r="K204" s="70"/>
    </row>
    <row r="205" spans="2:11" ht="14.25">
      <c r="B205" s="63" t="s">
        <v>257</v>
      </c>
      <c r="D205" s="63" t="s">
        <v>260</v>
      </c>
      <c r="E205" s="563">
        <v>2242.7529523001745</v>
      </c>
      <c r="G205" s="172"/>
      <c r="H205" s="70"/>
      <c r="I205" s="70"/>
      <c r="J205" s="70"/>
      <c r="K205" s="70"/>
    </row>
    <row r="206" spans="2:11" ht="14.25">
      <c r="B206" s="63" t="s">
        <v>261</v>
      </c>
      <c r="D206" s="63" t="s">
        <v>262</v>
      </c>
      <c r="E206" s="563">
        <v>-286.5969224495312</v>
      </c>
      <c r="G206" s="172"/>
      <c r="H206" s="70"/>
      <c r="I206" s="70"/>
      <c r="J206" s="70"/>
      <c r="K206" s="70"/>
    </row>
    <row r="207" spans="2:11" ht="14.25">
      <c r="B207" s="63" t="s">
        <v>263</v>
      </c>
      <c r="D207" s="63" t="s">
        <v>264</v>
      </c>
      <c r="E207" s="563">
        <v>65.8477484784978</v>
      </c>
      <c r="G207" s="172"/>
      <c r="H207" s="70"/>
      <c r="I207" s="70"/>
      <c r="J207" s="70"/>
      <c r="K207" s="70"/>
    </row>
    <row r="208" spans="2:11" ht="14.25">
      <c r="B208" s="63" t="s">
        <v>265</v>
      </c>
      <c r="D208" s="63" t="s">
        <v>266</v>
      </c>
      <c r="E208" s="563">
        <v>50.24770919136989</v>
      </c>
      <c r="G208" s="172"/>
      <c r="H208" s="70"/>
      <c r="I208" s="70"/>
      <c r="J208" s="70"/>
      <c r="K208" s="70"/>
    </row>
    <row r="209" spans="2:11" ht="14.25">
      <c r="B209" s="63" t="s">
        <v>267</v>
      </c>
      <c r="D209" s="63" t="s">
        <v>268</v>
      </c>
      <c r="G209" s="563">
        <v>-21.65950521467737</v>
      </c>
      <c r="H209" s="563">
        <v>-20.64645106282059</v>
      </c>
      <c r="I209" s="563">
        <v>-7.941752913871934</v>
      </c>
      <c r="J209" s="563">
        <v>-18.620807168416547</v>
      </c>
      <c r="K209" s="563">
        <v>-37.96397713078595</v>
      </c>
    </row>
    <row r="210" spans="2:11" ht="14.25">
      <c r="B210" s="63" t="s">
        <v>269</v>
      </c>
      <c r="D210" s="63" t="s">
        <v>270</v>
      </c>
      <c r="E210" s="563">
        <v>-1.4214546998261182</v>
      </c>
      <c r="G210" s="172"/>
      <c r="H210" s="70"/>
      <c r="I210" s="70"/>
      <c r="J210" s="70"/>
      <c r="K210" s="70"/>
    </row>
    <row r="211" spans="2:11" ht="14.25">
      <c r="B211" s="63" t="s">
        <v>271</v>
      </c>
      <c r="D211" s="63" t="s">
        <v>272</v>
      </c>
      <c r="E211" s="563">
        <v>22.124375582559935</v>
      </c>
      <c r="G211" s="172"/>
      <c r="H211" s="70"/>
      <c r="I211" s="70"/>
      <c r="J211" s="70"/>
      <c r="K211" s="70"/>
    </row>
    <row r="212" spans="2:11" ht="14.25">
      <c r="B212" s="63" t="s">
        <v>273</v>
      </c>
      <c r="D212" s="63" t="s">
        <v>274</v>
      </c>
      <c r="E212" s="563">
        <v>-1.8985919827262103</v>
      </c>
      <c r="G212" s="172"/>
      <c r="H212" s="70"/>
      <c r="I212" s="70"/>
      <c r="J212" s="70"/>
      <c r="K212" s="70"/>
    </row>
    <row r="213" spans="2:11" ht="14.25">
      <c r="B213" s="63" t="s">
        <v>275</v>
      </c>
      <c r="D213" s="63" t="s">
        <v>282</v>
      </c>
      <c r="E213" s="563">
        <v>-0.6840948897841277</v>
      </c>
      <c r="G213" s="172"/>
      <c r="H213" s="70"/>
      <c r="I213" s="70"/>
      <c r="J213" s="70"/>
      <c r="K213" s="70"/>
    </row>
    <row r="214" spans="2:11" ht="14.25">
      <c r="B214" s="63" t="s">
        <v>576</v>
      </c>
      <c r="D214" s="63" t="s">
        <v>283</v>
      </c>
      <c r="G214" s="563">
        <v>3.551154940292727</v>
      </c>
      <c r="H214" s="70"/>
      <c r="I214" s="70"/>
      <c r="J214" s="70"/>
      <c r="K214" s="70"/>
    </row>
    <row r="216" spans="2:4" ht="14.25">
      <c r="B216" s="259" t="s">
        <v>413</v>
      </c>
      <c r="C216" s="77"/>
      <c r="D216" s="77"/>
    </row>
    <row r="217" spans="2:11" ht="14.25">
      <c r="B217" s="63" t="s">
        <v>241</v>
      </c>
      <c r="D217" s="77" t="s">
        <v>284</v>
      </c>
      <c r="E217" s="563">
        <v>2000.8728714884735</v>
      </c>
      <c r="G217" s="172"/>
      <c r="H217" s="70"/>
      <c r="I217" s="70"/>
      <c r="J217" s="70"/>
      <c r="K217" s="70"/>
    </row>
    <row r="218" spans="2:11" ht="14.25">
      <c r="B218" s="63" t="s">
        <v>243</v>
      </c>
      <c r="D218" s="77" t="s">
        <v>285</v>
      </c>
      <c r="E218" s="563">
        <v>2020.825291227318</v>
      </c>
      <c r="G218" s="172"/>
      <c r="H218" s="70"/>
      <c r="I218" s="70"/>
      <c r="J218" s="70"/>
      <c r="K218" s="70"/>
    </row>
    <row r="219" spans="2:11" ht="14.25">
      <c r="B219" s="63" t="s">
        <v>286</v>
      </c>
      <c r="D219" s="77" t="s">
        <v>287</v>
      </c>
      <c r="E219" s="563">
        <v>2068.9916289655976</v>
      </c>
      <c r="G219" s="172"/>
      <c r="H219" s="70"/>
      <c r="I219" s="70"/>
      <c r="J219" s="70"/>
      <c r="K219" s="70"/>
    </row>
    <row r="220" spans="2:11" ht="14.25">
      <c r="B220" s="63" t="s">
        <v>249</v>
      </c>
      <c r="D220" s="77" t="s">
        <v>288</v>
      </c>
      <c r="E220" s="563">
        <v>2001.6879156679906</v>
      </c>
      <c r="G220" s="172"/>
      <c r="H220" s="70"/>
      <c r="I220" s="70"/>
      <c r="J220" s="70"/>
      <c r="K220" s="70"/>
    </row>
    <row r="221" spans="2:11" ht="14.25">
      <c r="B221" s="63" t="s">
        <v>251</v>
      </c>
      <c r="D221" s="77" t="s">
        <v>289</v>
      </c>
      <c r="E221" s="563">
        <v>-206.94141985289377</v>
      </c>
      <c r="G221" s="172"/>
      <c r="H221" s="70"/>
      <c r="I221" s="70"/>
      <c r="J221" s="70"/>
      <c r="K221" s="70"/>
    </row>
    <row r="222" spans="2:11" ht="14.25">
      <c r="B222" s="63" t="s">
        <v>253</v>
      </c>
      <c r="D222" s="77" t="s">
        <v>290</v>
      </c>
      <c r="E222" s="563">
        <v>210.75285598124103</v>
      </c>
      <c r="G222" s="172"/>
      <c r="H222" s="70"/>
      <c r="I222" s="70"/>
      <c r="J222" s="70"/>
      <c r="K222" s="70"/>
    </row>
    <row r="223" spans="2:11" ht="14.25">
      <c r="B223" s="63" t="s">
        <v>255</v>
      </c>
      <c r="D223" s="77" t="s">
        <v>291</v>
      </c>
      <c r="E223" s="563">
        <v>-4.626480307864212</v>
      </c>
      <c r="G223" s="172"/>
      <c r="H223" s="70"/>
      <c r="I223" s="70"/>
      <c r="J223" s="70"/>
      <c r="K223" s="70"/>
    </row>
    <row r="224" spans="2:11" ht="14.25">
      <c r="B224" s="63" t="s">
        <v>265</v>
      </c>
      <c r="D224" s="77" t="s">
        <v>292</v>
      </c>
      <c r="E224" s="563">
        <v>49.56858060667995</v>
      </c>
      <c r="G224" s="172"/>
      <c r="H224" s="70"/>
      <c r="I224" s="70"/>
      <c r="J224" s="70"/>
      <c r="K224" s="70"/>
    </row>
    <row r="225" spans="2:11" ht="14.25">
      <c r="B225" s="121" t="s">
        <v>293</v>
      </c>
      <c r="D225" s="77" t="s">
        <v>294</v>
      </c>
      <c r="G225" s="563">
        <v>-22.97873463260954</v>
      </c>
      <c r="H225" s="563">
        <v>-22.45157718331101</v>
      </c>
      <c r="I225" s="563">
        <v>-8.852005602483796</v>
      </c>
      <c r="J225" s="563">
        <v>-21.273927613250596</v>
      </c>
      <c r="K225" s="563">
        <v>-44.457469885105084</v>
      </c>
    </row>
    <row r="226" spans="2:11" ht="14.25">
      <c r="B226" s="63" t="s">
        <v>269</v>
      </c>
      <c r="D226" s="77" t="s">
        <v>295</v>
      </c>
      <c r="E226" s="563">
        <v>-1.402242868400785</v>
      </c>
      <c r="G226" s="172"/>
      <c r="H226" s="70"/>
      <c r="I226" s="70"/>
      <c r="J226" s="70"/>
      <c r="K226" s="70"/>
    </row>
    <row r="227" spans="2:11" ht="14.25">
      <c r="B227" s="77" t="s">
        <v>271</v>
      </c>
      <c r="D227" s="77" t="s">
        <v>296</v>
      </c>
      <c r="E227" s="563">
        <v>21.82535108734746</v>
      </c>
      <c r="G227" s="172"/>
      <c r="H227" s="172"/>
      <c r="I227" s="172"/>
      <c r="J227" s="172"/>
      <c r="K227" s="172"/>
    </row>
    <row r="228" spans="2:11" ht="14.25">
      <c r="B228" s="77" t="s">
        <v>273</v>
      </c>
      <c r="D228" s="77" t="s">
        <v>296</v>
      </c>
      <c r="E228" s="563">
        <v>-1.872931348502631</v>
      </c>
      <c r="G228" s="172"/>
      <c r="H228" s="70"/>
      <c r="I228" s="70"/>
      <c r="J228" s="70"/>
      <c r="K228" s="70"/>
    </row>
    <row r="229" spans="2:11" ht="14.25">
      <c r="B229" s="77" t="s">
        <v>275</v>
      </c>
      <c r="D229" s="77" t="s">
        <v>296</v>
      </c>
      <c r="E229" s="563">
        <v>-0.6907902413541759</v>
      </c>
      <c r="G229" s="172"/>
      <c r="H229" s="70"/>
      <c r="I229" s="70"/>
      <c r="J229" s="70"/>
      <c r="K229" s="70"/>
    </row>
    <row r="231" ht="14.25">
      <c r="B231" s="216" t="s">
        <v>169</v>
      </c>
    </row>
    <row r="232" spans="2:7" ht="14.25">
      <c r="B232" s="77" t="s">
        <v>107</v>
      </c>
      <c r="G232" s="70">
        <v>-7.08659845821418</v>
      </c>
    </row>
    <row r="233" spans="2:7" ht="14.25">
      <c r="B233" s="63" t="s">
        <v>26</v>
      </c>
      <c r="G233" s="70">
        <v>0</v>
      </c>
    </row>
    <row r="234" spans="2:7" ht="14.25">
      <c r="B234" s="63" t="s">
        <v>140</v>
      </c>
      <c r="G234" s="70">
        <v>36.21760689107659</v>
      </c>
    </row>
    <row r="235" spans="2:7" ht="14.25">
      <c r="B235" s="69"/>
      <c r="G235" s="70"/>
    </row>
    <row r="236" spans="2:7" ht="14.25">
      <c r="B236" s="63" t="s">
        <v>245</v>
      </c>
      <c r="G236" s="70">
        <v>3.551154940292727</v>
      </c>
    </row>
    <row r="237" spans="2:7" ht="14.25">
      <c r="B237" s="63" t="s">
        <v>246</v>
      </c>
      <c r="G237" s="70">
        <v>3.493872842187858</v>
      </c>
    </row>
    <row r="238" ht="14.25">
      <c r="G238" s="70"/>
    </row>
    <row r="239" ht="14.25">
      <c r="G239" s="70"/>
    </row>
    <row r="240" spans="1:2" ht="14.25">
      <c r="A240" s="216"/>
      <c r="B240" s="216" t="s">
        <v>173</v>
      </c>
    </row>
    <row r="241" spans="2:13" ht="38.25">
      <c r="B241" s="34"/>
      <c r="C241" s="77"/>
      <c r="D241" s="77"/>
      <c r="E241" s="263" t="s">
        <v>382</v>
      </c>
      <c r="F241" s="35" t="s">
        <v>685</v>
      </c>
      <c r="G241" s="35" t="s">
        <v>686</v>
      </c>
      <c r="H241" s="35" t="s">
        <v>687</v>
      </c>
      <c r="I241" s="35" t="s">
        <v>689</v>
      </c>
      <c r="J241" s="35" t="s">
        <v>690</v>
      </c>
      <c r="K241" s="35" t="s">
        <v>691</v>
      </c>
      <c r="L241" s="36" t="s">
        <v>692</v>
      </c>
      <c r="M241" s="34" t="s">
        <v>698</v>
      </c>
    </row>
    <row r="242" spans="2:13" ht="14.25">
      <c r="B242" s="498" t="s">
        <v>172</v>
      </c>
      <c r="C242" s="77"/>
      <c r="D242" s="77"/>
      <c r="E242" s="51"/>
      <c r="F242" s="37"/>
      <c r="G242" s="37"/>
      <c r="H242" s="38"/>
      <c r="I242" s="39"/>
      <c r="J242" s="38"/>
      <c r="K242" s="38"/>
      <c r="L242" s="38"/>
      <c r="M242" s="40"/>
    </row>
    <row r="243" spans="2:13" ht="14.25">
      <c r="B243" s="41" t="s">
        <v>377</v>
      </c>
      <c r="C243" s="77"/>
      <c r="D243" s="77"/>
      <c r="E243" s="42"/>
      <c r="F243" s="42"/>
      <c r="G243" s="52">
        <v>34.2497027</v>
      </c>
      <c r="H243" s="52">
        <v>25.715197355647796</v>
      </c>
      <c r="I243" s="52">
        <v>37.43874954291226</v>
      </c>
      <c r="J243" s="52">
        <v>37.884806621077445</v>
      </c>
      <c r="K243" s="52">
        <v>31.375960964569895</v>
      </c>
      <c r="L243" s="52">
        <v>6.567447500586184</v>
      </c>
      <c r="M243" s="52">
        <v>138.98216198479358</v>
      </c>
    </row>
    <row r="244" spans="2:13" ht="14.25">
      <c r="B244" s="43" t="s">
        <v>170</v>
      </c>
      <c r="C244" s="77"/>
      <c r="D244" s="77"/>
      <c r="E244" s="42"/>
      <c r="F244" s="42"/>
      <c r="G244" s="52">
        <v>55.33654718983236</v>
      </c>
      <c r="H244" s="52">
        <v>55.74459854987747</v>
      </c>
      <c r="I244" s="52">
        <v>43.20060233305352</v>
      </c>
      <c r="J244" s="52">
        <v>37.012603092759655</v>
      </c>
      <c r="K244" s="52">
        <v>34.67623506679415</v>
      </c>
      <c r="L244" s="52">
        <v>45.00196932156356</v>
      </c>
      <c r="M244" s="52">
        <v>215.63600836404837</v>
      </c>
    </row>
    <row r="245" spans="2:13" ht="14.25">
      <c r="B245" s="45" t="s">
        <v>699</v>
      </c>
      <c r="C245" s="77"/>
      <c r="D245" s="77"/>
      <c r="E245" s="53">
        <v>0</v>
      </c>
      <c r="F245" s="53">
        <v>0</v>
      </c>
      <c r="G245" s="53">
        <v>89.58624988983236</v>
      </c>
      <c r="H245" s="53">
        <v>81.45979590552527</v>
      </c>
      <c r="I245" s="53">
        <v>80.63935187596579</v>
      </c>
      <c r="J245" s="53">
        <v>74.89740971383709</v>
      </c>
      <c r="K245" s="53">
        <v>66.05219603136405</v>
      </c>
      <c r="L245" s="53">
        <v>51.56941682214974</v>
      </c>
      <c r="M245" s="53">
        <v>354.6181703488419</v>
      </c>
    </row>
    <row r="246" spans="2:13" ht="14.25">
      <c r="B246" s="46"/>
      <c r="C246" s="77"/>
      <c r="D246" s="77"/>
      <c r="E246" s="47"/>
      <c r="F246" s="47"/>
      <c r="G246" s="52"/>
      <c r="H246" s="52"/>
      <c r="I246" s="52"/>
      <c r="J246" s="52"/>
      <c r="K246" s="52"/>
      <c r="L246" s="52"/>
      <c r="M246" s="52"/>
    </row>
    <row r="247" spans="2:13" ht="14.25">
      <c r="B247" s="50" t="s">
        <v>174</v>
      </c>
      <c r="C247" s="77"/>
      <c r="D247" s="77"/>
      <c r="E247" s="51"/>
      <c r="F247" s="48"/>
      <c r="G247" s="52"/>
      <c r="H247" s="52"/>
      <c r="I247" s="52"/>
      <c r="J247" s="52"/>
      <c r="K247" s="52"/>
      <c r="L247" s="52"/>
      <c r="M247" s="52"/>
    </row>
    <row r="248" spans="2:13" ht="14.25">
      <c r="B248" s="496" t="s">
        <v>171</v>
      </c>
      <c r="C248" s="77"/>
      <c r="D248" s="77"/>
      <c r="E248" s="52"/>
      <c r="F248" s="52"/>
      <c r="G248" s="52">
        <v>122.049624313535</v>
      </c>
      <c r="H248" s="52">
        <v>122.53383145134255</v>
      </c>
      <c r="I248" s="52">
        <v>126.10207895876218</v>
      </c>
      <c r="J248" s="52">
        <v>126.5829634186052</v>
      </c>
      <c r="K248" s="52">
        <v>127.16139933428715</v>
      </c>
      <c r="L248" s="52">
        <v>128.22518503882117</v>
      </c>
      <c r="M248" s="52">
        <v>630.6054582018182</v>
      </c>
    </row>
    <row r="249" spans="2:13" ht="14.25">
      <c r="B249" s="497" t="s">
        <v>176</v>
      </c>
      <c r="C249" s="77"/>
      <c r="D249" s="77"/>
      <c r="E249" s="52"/>
      <c r="F249" s="52"/>
      <c r="G249" s="52">
        <v>1.7511893096491966</v>
      </c>
      <c r="H249" s="52">
        <v>2.029405499168675</v>
      </c>
      <c r="I249" s="52">
        <v>15.152429885094572</v>
      </c>
      <c r="J249" s="52">
        <v>0.27269716790557014</v>
      </c>
      <c r="K249" s="52">
        <v>0</v>
      </c>
      <c r="L249" s="52">
        <v>0</v>
      </c>
      <c r="M249" s="52">
        <v>17.454532552168814</v>
      </c>
    </row>
    <row r="250" spans="2:13" ht="14.25">
      <c r="B250" s="497" t="s">
        <v>177</v>
      </c>
      <c r="C250" s="77"/>
      <c r="D250" s="77"/>
      <c r="E250" s="52"/>
      <c r="F250" s="52"/>
      <c r="G250" s="52">
        <v>0</v>
      </c>
      <c r="H250" s="52">
        <v>2.7695833333333333</v>
      </c>
      <c r="I250" s="52">
        <v>3.3879583333333336</v>
      </c>
      <c r="J250" s="52">
        <v>4.022625</v>
      </c>
      <c r="K250" s="52">
        <v>4.681375</v>
      </c>
      <c r="L250" s="52">
        <v>5.365625</v>
      </c>
      <c r="M250" s="52">
        <v>20.22716666666667</v>
      </c>
    </row>
    <row r="251" spans="2:13" ht="14.25">
      <c r="B251" s="49" t="s">
        <v>530</v>
      </c>
      <c r="C251" s="77"/>
      <c r="D251" s="77"/>
      <c r="E251" s="54">
        <v>0</v>
      </c>
      <c r="F251" s="54">
        <v>0</v>
      </c>
      <c r="G251" s="53">
        <v>123.8008136231842</v>
      </c>
      <c r="H251" s="53">
        <v>127.33282028384455</v>
      </c>
      <c r="I251" s="53">
        <v>144.64246717719007</v>
      </c>
      <c r="J251" s="53">
        <v>130.87828558651077</v>
      </c>
      <c r="K251" s="53">
        <v>131.84277433428716</v>
      </c>
      <c r="L251" s="53">
        <v>133.59081003882116</v>
      </c>
      <c r="M251" s="53">
        <v>668.2871574206537</v>
      </c>
    </row>
    <row r="252" s="77" customFormat="1" ht="12.75">
      <c r="A252" s="121"/>
    </row>
  </sheetData>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22"/>
  <dimension ref="A1:O251"/>
  <sheetViews>
    <sheetView zoomScale="70" zoomScaleNormal="70" workbookViewId="0" topLeftCell="A1">
      <pane xSplit="2" ySplit="1" topLeftCell="D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9.00390625" style="71" customWidth="1"/>
    <col min="2" max="2" width="50.75390625" style="63" customWidth="1"/>
    <col min="3" max="3" width="9.00390625" style="63" hidden="1" customWidth="1"/>
    <col min="4" max="4" width="13.75390625" style="63" customWidth="1"/>
    <col min="5" max="6" width="10.375" style="63" bestFit="1" customWidth="1"/>
    <col min="7" max="16384" width="9.00390625" style="63" customWidth="1"/>
  </cols>
  <sheetData>
    <row r="1" spans="3:12" ht="14.25">
      <c r="C1" s="540" t="s">
        <v>90</v>
      </c>
      <c r="D1" s="540"/>
      <c r="E1" s="541" t="s">
        <v>76</v>
      </c>
      <c r="F1" s="541" t="s">
        <v>77</v>
      </c>
      <c r="G1" s="541" t="s">
        <v>91</v>
      </c>
      <c r="H1" s="541" t="s">
        <v>92</v>
      </c>
      <c r="I1" s="541" t="s">
        <v>93</v>
      </c>
      <c r="J1" s="541" t="s">
        <v>94</v>
      </c>
      <c r="K1" s="541" t="s">
        <v>95</v>
      </c>
      <c r="L1" s="541" t="s">
        <v>131</v>
      </c>
    </row>
    <row r="2" spans="1:12" ht="14.25">
      <c r="A2" s="216"/>
      <c r="C2" s="77"/>
      <c r="D2" s="542"/>
      <c r="E2" s="542"/>
      <c r="F2" s="542"/>
      <c r="G2" s="542"/>
      <c r="H2" s="542"/>
      <c r="I2" s="542"/>
      <c r="J2" s="542"/>
      <c r="K2" s="542"/>
      <c r="L2" s="543"/>
    </row>
    <row r="3" spans="1:12" ht="14.25">
      <c r="A3" s="216"/>
      <c r="B3" s="544" t="s">
        <v>429</v>
      </c>
      <c r="C3" s="545"/>
      <c r="D3" s="546"/>
      <c r="E3" s="546"/>
      <c r="F3" s="546"/>
      <c r="G3" s="542"/>
      <c r="H3" s="542"/>
      <c r="I3" s="547"/>
      <c r="J3" s="547"/>
      <c r="K3" s="542"/>
      <c r="L3" s="543"/>
    </row>
    <row r="4" spans="1:12" ht="14.25">
      <c r="A4" s="216" t="s">
        <v>534</v>
      </c>
      <c r="B4" s="548" t="s">
        <v>601</v>
      </c>
      <c r="C4" s="549"/>
      <c r="D4" s="546"/>
      <c r="E4" s="546">
        <v>233.398542973836</v>
      </c>
      <c r="F4" s="546">
        <v>229.82734035094035</v>
      </c>
      <c r="G4" s="542"/>
      <c r="H4" s="542"/>
      <c r="I4" s="542"/>
      <c r="J4" s="542"/>
      <c r="K4" s="542"/>
      <c r="L4" s="542"/>
    </row>
    <row r="5" spans="1:12" ht="14.25">
      <c r="A5" s="216"/>
      <c r="B5" s="548" t="s">
        <v>600</v>
      </c>
      <c r="C5" s="545"/>
      <c r="D5" s="546"/>
      <c r="E5" s="546">
        <v>229.99297187462102</v>
      </c>
      <c r="F5" s="546">
        <v>225.9171514235449</v>
      </c>
      <c r="G5" s="542"/>
      <c r="H5" s="542"/>
      <c r="I5" s="542"/>
      <c r="J5" s="542"/>
      <c r="K5" s="542"/>
      <c r="L5" s="543"/>
    </row>
    <row r="6" spans="1:12" ht="14.25">
      <c r="A6" s="216"/>
      <c r="B6" s="544" t="s">
        <v>476</v>
      </c>
      <c r="C6" s="545"/>
      <c r="D6" s="546"/>
      <c r="E6" s="546">
        <v>-3.502038809929365</v>
      </c>
      <c r="F6" s="546">
        <v>-3.439977429159236</v>
      </c>
      <c r="G6" s="542"/>
      <c r="H6" s="547"/>
      <c r="I6" s="547"/>
      <c r="J6" s="547"/>
      <c r="K6" s="542"/>
      <c r="L6" s="543"/>
    </row>
    <row r="7" spans="1:12" ht="14.25">
      <c r="A7" s="216"/>
      <c r="B7" s="544" t="s">
        <v>477</v>
      </c>
      <c r="C7" s="545"/>
      <c r="D7" s="546"/>
      <c r="E7" s="546">
        <v>0.8220383360458196</v>
      </c>
      <c r="F7" s="546">
        <v>0.8074705836735776</v>
      </c>
      <c r="G7" s="542"/>
      <c r="H7" s="547"/>
      <c r="I7" s="547"/>
      <c r="J7" s="542"/>
      <c r="K7" s="542"/>
      <c r="L7" s="543"/>
    </row>
    <row r="8" spans="1:12" ht="14.25">
      <c r="A8" s="216"/>
      <c r="B8" s="548" t="s">
        <v>478</v>
      </c>
      <c r="C8" s="545"/>
      <c r="D8" s="546"/>
      <c r="E8" s="546">
        <v>227.31297140073747</v>
      </c>
      <c r="F8" s="546">
        <v>223.28464457805927</v>
      </c>
      <c r="G8" s="542"/>
      <c r="H8" s="542"/>
      <c r="I8" s="542"/>
      <c r="J8" s="542"/>
      <c r="K8" s="542"/>
      <c r="L8" s="543"/>
    </row>
    <row r="9" spans="1:12" ht="14.25">
      <c r="A9" s="121"/>
      <c r="B9" s="548" t="s">
        <v>66</v>
      </c>
      <c r="C9" s="549"/>
      <c r="D9" s="546"/>
      <c r="E9" s="546">
        <v>-87.56093279600341</v>
      </c>
      <c r="F9" s="546">
        <v>-84.52773451111587</v>
      </c>
      <c r="G9" s="542"/>
      <c r="H9" s="542"/>
      <c r="I9" s="542"/>
      <c r="J9" s="542"/>
      <c r="K9" s="542"/>
      <c r="L9" s="542"/>
    </row>
    <row r="10" spans="1:12" ht="14.25">
      <c r="A10" s="121"/>
      <c r="B10" s="548" t="s">
        <v>479</v>
      </c>
      <c r="C10" s="549"/>
      <c r="D10" s="546"/>
      <c r="E10" s="546">
        <v>-84.05889398607405</v>
      </c>
      <c r="F10" s="546">
        <v>-81.08775708195662</v>
      </c>
      <c r="H10" s="542"/>
      <c r="I10" s="542"/>
      <c r="J10" s="542"/>
      <c r="K10" s="542"/>
      <c r="L10" s="542"/>
    </row>
    <row r="11" spans="1:12" ht="14.25">
      <c r="A11" s="121"/>
      <c r="B11" s="548" t="s">
        <v>67</v>
      </c>
      <c r="C11" s="549"/>
      <c r="D11" s="546"/>
      <c r="E11" s="546">
        <v>-19.931773206407627</v>
      </c>
      <c r="F11" s="546">
        <v>-21.069998931512178</v>
      </c>
      <c r="G11" s="542"/>
      <c r="H11" s="542"/>
      <c r="I11" s="542"/>
      <c r="J11" s="542"/>
      <c r="K11" s="542"/>
      <c r="L11" s="542"/>
    </row>
    <row r="12" spans="1:12" ht="14.25">
      <c r="A12" s="121"/>
      <c r="B12" s="548" t="s">
        <v>487</v>
      </c>
      <c r="C12" s="549"/>
      <c r="D12" s="546"/>
      <c r="E12" s="546">
        <v>-20.86590565537531</v>
      </c>
      <c r="F12" s="546">
        <v>-19.10778929294913</v>
      </c>
      <c r="G12" s="542"/>
      <c r="H12" s="542"/>
      <c r="I12" s="542"/>
      <c r="J12" s="542"/>
      <c r="K12" s="542"/>
      <c r="L12" s="542"/>
    </row>
    <row r="13" spans="1:12" ht="14.25">
      <c r="A13" s="550" t="s">
        <v>121</v>
      </c>
      <c r="B13" s="551"/>
      <c r="C13" s="549"/>
      <c r="D13" s="546"/>
      <c r="E13" s="546"/>
      <c r="F13" s="546"/>
      <c r="G13" s="542"/>
      <c r="H13" s="542"/>
      <c r="I13" s="542"/>
      <c r="J13" s="542"/>
      <c r="K13" s="542"/>
      <c r="L13" s="543"/>
    </row>
    <row r="14" spans="1:12" ht="14.25">
      <c r="A14" s="552"/>
      <c r="B14" s="545" t="s">
        <v>494</v>
      </c>
      <c r="C14" s="549"/>
      <c r="D14" s="546"/>
      <c r="E14" s="546">
        <v>15.014188887439131</v>
      </c>
      <c r="F14" s="546">
        <v>18.685952691624216</v>
      </c>
      <c r="G14" s="542"/>
      <c r="H14" s="542"/>
      <c r="I14" s="542"/>
      <c r="J14" s="542"/>
      <c r="K14" s="542"/>
      <c r="L14" s="543"/>
    </row>
    <row r="15" spans="1:12" ht="14.25">
      <c r="A15" s="552"/>
      <c r="B15" s="545" t="s">
        <v>493</v>
      </c>
      <c r="C15" s="549"/>
      <c r="D15" s="546"/>
      <c r="E15" s="546">
        <v>20.865905655375304</v>
      </c>
      <c r="F15" s="546">
        <v>19.10778929294912</v>
      </c>
      <c r="G15" s="542"/>
      <c r="H15" s="542"/>
      <c r="I15" s="542"/>
      <c r="J15" s="542"/>
      <c r="K15" s="542"/>
      <c r="L15" s="543"/>
    </row>
    <row r="16" spans="1:12" ht="14.25">
      <c r="A16" s="552"/>
      <c r="B16" s="545" t="s">
        <v>142</v>
      </c>
      <c r="C16" s="549"/>
      <c r="D16" s="546"/>
      <c r="E16" s="546">
        <v>41.73181131075061</v>
      </c>
      <c r="F16" s="546">
        <v>38.21557858589824</v>
      </c>
      <c r="G16" s="542"/>
      <c r="H16" s="542"/>
      <c r="I16" s="542"/>
      <c r="J16" s="542"/>
      <c r="K16" s="542"/>
      <c r="L16" s="543"/>
    </row>
    <row r="17" spans="1:12" ht="14.25">
      <c r="A17" s="121"/>
      <c r="B17" s="121"/>
      <c r="C17" s="553"/>
      <c r="D17" s="542"/>
      <c r="E17" s="542"/>
      <c r="F17" s="542"/>
      <c r="G17" s="542"/>
      <c r="H17" s="542"/>
      <c r="I17" s="542"/>
      <c r="J17" s="542"/>
      <c r="K17" s="542"/>
      <c r="L17" s="542"/>
    </row>
    <row r="18" spans="1:12" ht="14.25">
      <c r="A18" s="121"/>
      <c r="B18" s="554" t="s">
        <v>785</v>
      </c>
      <c r="C18" s="555"/>
      <c r="D18" s="556"/>
      <c r="E18" s="556">
        <v>231</v>
      </c>
      <c r="F18" s="556">
        <v>230.8</v>
      </c>
      <c r="G18" s="556">
        <v>239.1</v>
      </c>
      <c r="H18" s="542"/>
      <c r="I18" s="542"/>
      <c r="J18" s="542"/>
      <c r="K18" s="542"/>
      <c r="L18" s="542"/>
    </row>
    <row r="19" spans="1:7" ht="14.25">
      <c r="A19" s="121"/>
      <c r="B19" s="554" t="s">
        <v>153</v>
      </c>
      <c r="C19" s="555"/>
      <c r="D19" s="556"/>
      <c r="E19" s="556">
        <v>-98.1</v>
      </c>
      <c r="F19" s="556">
        <v>-94.4</v>
      </c>
      <c r="G19" s="556">
        <v>-103.3</v>
      </c>
    </row>
    <row r="20" spans="1:7" ht="14.25">
      <c r="A20" s="121"/>
      <c r="B20" s="554" t="s">
        <v>67</v>
      </c>
      <c r="C20" s="555"/>
      <c r="D20" s="556"/>
      <c r="E20" s="556">
        <v>-20.7</v>
      </c>
      <c r="F20" s="556">
        <v>-22.265170731707315</v>
      </c>
      <c r="G20" s="556">
        <v>-22.265170731707315</v>
      </c>
    </row>
    <row r="21" spans="1:12" ht="14.25">
      <c r="A21" s="121"/>
      <c r="B21" s="554"/>
      <c r="C21" s="555"/>
      <c r="D21" s="556"/>
      <c r="E21" s="556"/>
      <c r="F21" s="556"/>
      <c r="G21" s="556"/>
      <c r="H21" s="542"/>
      <c r="I21" s="542"/>
      <c r="J21" s="542"/>
      <c r="K21" s="542"/>
      <c r="L21" s="542"/>
    </row>
    <row r="22" spans="1:12" ht="14.25">
      <c r="A22" s="121"/>
      <c r="B22" s="554" t="s">
        <v>8</v>
      </c>
      <c r="C22" s="555"/>
      <c r="D22" s="556"/>
      <c r="E22" s="556">
        <v>-27.051999999999996</v>
      </c>
      <c r="F22" s="556">
        <v>-28.01949756097561</v>
      </c>
      <c r="G22" s="556">
        <v>-25.36956675788221</v>
      </c>
      <c r="H22" s="542"/>
      <c r="I22" s="542"/>
      <c r="J22" s="542"/>
      <c r="K22" s="542"/>
      <c r="L22" s="542"/>
    </row>
    <row r="23" spans="1:7" ht="14.25">
      <c r="A23" s="121"/>
      <c r="B23" s="554" t="s">
        <v>57</v>
      </c>
      <c r="C23" s="555"/>
      <c r="D23" s="556"/>
      <c r="E23" s="556">
        <v>-38.3</v>
      </c>
      <c r="F23" s="556">
        <v>-45</v>
      </c>
      <c r="G23" s="556">
        <v>-46.1</v>
      </c>
    </row>
    <row r="24" spans="1:14" ht="14.25">
      <c r="A24" s="121"/>
      <c r="B24" s="554" t="s">
        <v>727</v>
      </c>
      <c r="C24" s="555"/>
      <c r="D24" s="556"/>
      <c r="E24" s="556">
        <v>56.036890299999996</v>
      </c>
      <c r="F24" s="556">
        <v>39.746829299999995</v>
      </c>
      <c r="G24" s="556">
        <v>43.03</v>
      </c>
      <c r="N24" s="543"/>
    </row>
    <row r="25" spans="1:12" ht="14.25">
      <c r="A25" s="121"/>
      <c r="B25" s="77" t="s">
        <v>350</v>
      </c>
      <c r="C25" s="553"/>
      <c r="D25" s="542"/>
      <c r="E25" s="542"/>
      <c r="F25" s="542"/>
      <c r="G25" s="557">
        <v>252</v>
      </c>
      <c r="H25" s="542"/>
      <c r="I25" s="542"/>
      <c r="J25" s="542"/>
      <c r="K25" s="542"/>
      <c r="L25" s="542"/>
    </row>
    <row r="26" spans="1:12" ht="14.25">
      <c r="A26" s="121"/>
      <c r="B26" s="77"/>
      <c r="C26" s="553"/>
      <c r="D26" s="542"/>
      <c r="E26" s="542"/>
      <c r="F26" s="542"/>
      <c r="G26" s="557"/>
      <c r="H26" s="542"/>
      <c r="I26" s="542"/>
      <c r="J26" s="542"/>
      <c r="K26" s="542"/>
      <c r="L26" s="542"/>
    </row>
    <row r="27" spans="1:12" ht="14.25">
      <c r="A27" s="121"/>
      <c r="B27" s="554" t="s">
        <v>586</v>
      </c>
      <c r="C27" s="555"/>
      <c r="D27" s="556"/>
      <c r="E27" s="556">
        <v>30.657174459441052</v>
      </c>
      <c r="F27" s="556">
        <v>28.84671199656361</v>
      </c>
      <c r="G27" s="556">
        <v>0</v>
      </c>
      <c r="H27" s="542"/>
      <c r="I27" s="542"/>
      <c r="J27" s="542"/>
      <c r="K27" s="542"/>
      <c r="L27" s="542"/>
    </row>
    <row r="28" spans="1:14" ht="14.25">
      <c r="A28" s="121"/>
      <c r="B28" s="554" t="s">
        <v>584</v>
      </c>
      <c r="C28" s="555"/>
      <c r="D28" s="556"/>
      <c r="E28" s="556">
        <v>30.9</v>
      </c>
      <c r="F28" s="556">
        <v>30.53</v>
      </c>
      <c r="G28" s="556">
        <v>32.3</v>
      </c>
      <c r="N28" s="543"/>
    </row>
    <row r="29" spans="1:12" ht="14.25">
      <c r="A29" s="121"/>
      <c r="B29" s="554" t="s">
        <v>587</v>
      </c>
      <c r="C29" s="555"/>
      <c r="D29" s="556"/>
      <c r="E29" s="556">
        <v>11.074276678253508</v>
      </c>
      <c r="F29" s="556">
        <v>9.368536763686148</v>
      </c>
      <c r="G29" s="556">
        <v>0</v>
      </c>
      <c r="H29" s="542"/>
      <c r="I29" s="542"/>
      <c r="J29" s="542"/>
      <c r="K29" s="542"/>
      <c r="L29" s="542"/>
    </row>
    <row r="30" spans="1:14" ht="14.25">
      <c r="A30" s="121"/>
      <c r="B30" s="554" t="s">
        <v>585</v>
      </c>
      <c r="C30" s="555"/>
      <c r="D30" s="556"/>
      <c r="E30" s="556">
        <v>23.89</v>
      </c>
      <c r="F30" s="556">
        <v>23.5854210832985</v>
      </c>
      <c r="G30" s="556">
        <v>25.5</v>
      </c>
      <c r="N30" s="543"/>
    </row>
    <row r="31" spans="1:12" ht="14.25">
      <c r="A31" s="121"/>
      <c r="B31" s="77" t="s">
        <v>482</v>
      </c>
      <c r="C31" s="553"/>
      <c r="D31" s="542"/>
      <c r="E31" s="542">
        <v>54.79</v>
      </c>
      <c r="F31" s="542">
        <v>54.1154210832985</v>
      </c>
      <c r="G31" s="542">
        <v>57.8</v>
      </c>
      <c r="H31" s="542"/>
      <c r="I31" s="542"/>
      <c r="J31" s="542"/>
      <c r="K31" s="542"/>
      <c r="L31" s="542"/>
    </row>
    <row r="32" spans="1:12" ht="14.25">
      <c r="A32" s="121"/>
      <c r="B32" s="559" t="s">
        <v>310</v>
      </c>
      <c r="C32" s="560"/>
      <c r="D32" s="561"/>
      <c r="E32" s="561">
        <v>30.9</v>
      </c>
      <c r="F32" s="561">
        <v>30.53</v>
      </c>
      <c r="G32" s="542"/>
      <c r="H32" s="542"/>
      <c r="I32" s="542"/>
      <c r="J32" s="542"/>
      <c r="K32" s="542"/>
      <c r="L32" s="542"/>
    </row>
    <row r="33" spans="1:12" ht="14.25">
      <c r="A33" s="121"/>
      <c r="B33" s="559" t="s">
        <v>311</v>
      </c>
      <c r="C33" s="560"/>
      <c r="D33" s="561"/>
      <c r="E33" s="561">
        <v>23.89</v>
      </c>
      <c r="F33" s="561">
        <v>23.5854210832985</v>
      </c>
      <c r="G33" s="542"/>
      <c r="H33" s="542"/>
      <c r="I33" s="542"/>
      <c r="J33" s="542"/>
      <c r="K33" s="542"/>
      <c r="L33" s="542"/>
    </row>
    <row r="34" spans="1:12" ht="14.25">
      <c r="A34" s="121"/>
      <c r="B34" s="77"/>
      <c r="C34" s="553"/>
      <c r="D34" s="542"/>
      <c r="E34" s="542"/>
      <c r="F34" s="542"/>
      <c r="G34" s="558"/>
      <c r="H34" s="542"/>
      <c r="I34" s="542"/>
      <c r="J34" s="542"/>
      <c r="K34" s="542"/>
      <c r="L34" s="542"/>
    </row>
    <row r="35" spans="1:12" ht="14.25">
      <c r="A35" s="121"/>
      <c r="B35" s="77"/>
      <c r="C35" s="553"/>
      <c r="D35" s="542"/>
      <c r="E35" s="542"/>
      <c r="F35" s="542"/>
      <c r="G35" s="558"/>
      <c r="H35" s="542"/>
      <c r="I35" s="542"/>
      <c r="J35" s="542"/>
      <c r="K35" s="542"/>
      <c r="L35" s="542"/>
    </row>
    <row r="36" spans="1:13" ht="14.25">
      <c r="A36" s="121"/>
      <c r="B36" s="216" t="s">
        <v>154</v>
      </c>
      <c r="C36" s="553"/>
      <c r="D36" s="542"/>
      <c r="E36" s="542"/>
      <c r="F36" s="542"/>
      <c r="G36" s="558"/>
      <c r="H36" s="542"/>
      <c r="I36" s="542"/>
      <c r="J36" s="542"/>
      <c r="K36" s="542"/>
      <c r="L36" s="542"/>
      <c r="M36" s="71"/>
    </row>
    <row r="37" spans="1:13" ht="14.25">
      <c r="A37" s="121"/>
      <c r="B37" s="71" t="s">
        <v>153</v>
      </c>
      <c r="C37" s="553"/>
      <c r="D37" s="542"/>
      <c r="E37" s="542"/>
      <c r="F37" s="542"/>
      <c r="G37" s="558"/>
      <c r="H37" s="557">
        <v>-90.0033226432581</v>
      </c>
      <c r="I37" s="557">
        <v>-90.0934948758302</v>
      </c>
      <c r="J37" s="557">
        <v>-87.85254646755291</v>
      </c>
      <c r="K37" s="557">
        <v>-86.21328338239668</v>
      </c>
      <c r="L37" s="557">
        <v>-84.49360514135667</v>
      </c>
      <c r="M37" s="71"/>
    </row>
    <row r="38" spans="1:13" ht="14.25">
      <c r="A38" s="121"/>
      <c r="B38" s="71" t="s">
        <v>727</v>
      </c>
      <c r="C38" s="553"/>
      <c r="D38" s="542"/>
      <c r="E38" s="542"/>
      <c r="F38" s="542"/>
      <c r="G38" s="558"/>
      <c r="H38" s="557">
        <v>54.6952139903908</v>
      </c>
      <c r="I38" s="557">
        <v>54.28978129815417</v>
      </c>
      <c r="J38" s="557">
        <v>44.19824023546712</v>
      </c>
      <c r="K38" s="557">
        <v>44.779926905246654</v>
      </c>
      <c r="L38" s="557">
        <v>41.98795649260217</v>
      </c>
      <c r="M38" s="71"/>
    </row>
    <row r="39" spans="1:13" ht="14.25">
      <c r="A39" s="121"/>
      <c r="B39" s="71" t="s">
        <v>155</v>
      </c>
      <c r="C39" s="553"/>
      <c r="D39" s="542"/>
      <c r="E39" s="542"/>
      <c r="F39" s="542"/>
      <c r="G39" s="558"/>
      <c r="H39" s="557">
        <v>36.00566922282985</v>
      </c>
      <c r="I39" s="557">
        <v>36.801635048844766</v>
      </c>
      <c r="J39" s="557">
        <v>38.326392404098065</v>
      </c>
      <c r="K39" s="557">
        <v>39.47537850677135</v>
      </c>
      <c r="L39" s="557">
        <v>39.675794529111954</v>
      </c>
      <c r="M39" s="71"/>
    </row>
    <row r="40" spans="1:13" ht="14.25">
      <c r="A40" s="121"/>
      <c r="B40" s="71" t="s">
        <v>156</v>
      </c>
      <c r="C40" s="553"/>
      <c r="D40" s="542"/>
      <c r="E40" s="542"/>
      <c r="F40" s="542"/>
      <c r="G40" s="558"/>
      <c r="H40" s="557">
        <v>27.242206372841643</v>
      </c>
      <c r="I40" s="557">
        <v>36.49195086904546</v>
      </c>
      <c r="J40" s="557">
        <v>30.9834569044624</v>
      </c>
      <c r="K40" s="557">
        <v>29.963451774764728</v>
      </c>
      <c r="L40" s="557">
        <v>28.310823092228055</v>
      </c>
      <c r="M40" s="71"/>
    </row>
    <row r="41" spans="1:13" ht="14.25">
      <c r="A41" s="121"/>
      <c r="B41" s="71" t="s">
        <v>820</v>
      </c>
      <c r="C41" s="553"/>
      <c r="D41" s="542"/>
      <c r="E41" s="542"/>
      <c r="F41" s="542"/>
      <c r="G41" s="558"/>
      <c r="H41" s="557">
        <v>99.36922872025556</v>
      </c>
      <c r="I41" s="557">
        <v>105.73890697575735</v>
      </c>
      <c r="J41" s="557">
        <v>99.2418941751653</v>
      </c>
      <c r="K41" s="557">
        <v>101.32011665482578</v>
      </c>
      <c r="L41" s="557">
        <v>100.66433607005182</v>
      </c>
      <c r="M41" s="71"/>
    </row>
    <row r="42" spans="1:13" ht="14.25">
      <c r="A42" s="121"/>
      <c r="B42" s="63" t="s">
        <v>158</v>
      </c>
      <c r="C42" s="553"/>
      <c r="D42" s="542"/>
      <c r="E42" s="542"/>
      <c r="F42" s="542"/>
      <c r="G42" s="558"/>
      <c r="H42" s="557">
        <v>67.6240773</v>
      </c>
      <c r="I42" s="557">
        <v>81.344241524</v>
      </c>
      <c r="J42" s="557">
        <v>80.516871676</v>
      </c>
      <c r="K42" s="557">
        <v>84.169748332</v>
      </c>
      <c r="L42" s="557">
        <v>84.91346266399998</v>
      </c>
      <c r="M42" s="71"/>
    </row>
    <row r="43" spans="1:13" ht="14.25">
      <c r="A43" s="121"/>
      <c r="B43" s="63" t="s">
        <v>159</v>
      </c>
      <c r="C43" s="553"/>
      <c r="D43" s="542"/>
      <c r="E43" s="542"/>
      <c r="F43" s="542"/>
      <c r="G43" s="558"/>
      <c r="H43" s="557">
        <v>45.40318285288761</v>
      </c>
      <c r="I43" s="557">
        <v>43.178874103212586</v>
      </c>
      <c r="J43" s="557">
        <v>36.288657952487284</v>
      </c>
      <c r="K43" s="557">
        <v>38.42239372344753</v>
      </c>
      <c r="L43" s="557">
        <v>40.33530185302084</v>
      </c>
      <c r="M43" s="71"/>
    </row>
    <row r="44" spans="1:13" ht="14.25">
      <c r="A44" s="121"/>
      <c r="B44" s="63" t="s">
        <v>67</v>
      </c>
      <c r="C44" s="553"/>
      <c r="D44" s="542"/>
      <c r="E44" s="542"/>
      <c r="F44" s="542"/>
      <c r="G44" s="558"/>
      <c r="H44" s="557">
        <v>-22.265170731707315</v>
      </c>
      <c r="I44" s="557">
        <v>-22.265170731707315</v>
      </c>
      <c r="J44" s="557">
        <v>-22.265170731707315</v>
      </c>
      <c r="K44" s="557">
        <v>-22.265170731707315</v>
      </c>
      <c r="L44" s="557">
        <v>-22.265170731707315</v>
      </c>
      <c r="M44" s="71"/>
    </row>
    <row r="45" spans="1:13" ht="14.25">
      <c r="A45" s="121"/>
      <c r="B45" s="63" t="s">
        <v>57</v>
      </c>
      <c r="C45" s="553"/>
      <c r="D45" s="542"/>
      <c r="E45" s="542"/>
      <c r="F45" s="542"/>
      <c r="G45" s="558"/>
      <c r="H45" s="557">
        <v>-53.7</v>
      </c>
      <c r="I45" s="557">
        <v>-53.7</v>
      </c>
      <c r="J45" s="557">
        <v>-53.7</v>
      </c>
      <c r="K45" s="557">
        <v>-53.7</v>
      </c>
      <c r="L45" s="557">
        <v>-53.7</v>
      </c>
      <c r="M45" s="71"/>
    </row>
    <row r="46" spans="1:13" ht="14.25">
      <c r="A46" s="121"/>
      <c r="B46" s="71" t="s">
        <v>157</v>
      </c>
      <c r="C46" s="553"/>
      <c r="D46" s="542"/>
      <c r="E46" s="542"/>
      <c r="F46" s="542"/>
      <c r="G46" s="558"/>
      <c r="H46" s="557">
        <v>11.86045240855998</v>
      </c>
      <c r="I46" s="557">
        <v>11.86045240855998</v>
      </c>
      <c r="J46" s="557">
        <v>11.86045240855998</v>
      </c>
      <c r="K46" s="557">
        <v>11.86045240855998</v>
      </c>
      <c r="L46" s="557">
        <v>11.86045240855998</v>
      </c>
      <c r="M46" s="71"/>
    </row>
    <row r="47" spans="1:13" ht="14.25">
      <c r="A47" s="121"/>
      <c r="B47" s="71" t="s">
        <v>819</v>
      </c>
      <c r="C47" s="553"/>
      <c r="D47" s="542"/>
      <c r="E47" s="143"/>
      <c r="F47" s="143"/>
      <c r="G47" s="143"/>
      <c r="H47" s="510">
        <v>-26.382261894306424</v>
      </c>
      <c r="I47" s="510">
        <v>-29.767391254642156</v>
      </c>
      <c r="J47" s="510">
        <v>-30.02389831490978</v>
      </c>
      <c r="K47" s="510">
        <v>-29.303888725307402</v>
      </c>
      <c r="L47" s="510">
        <v>-28.467901584998714</v>
      </c>
      <c r="M47" s="71"/>
    </row>
    <row r="48" spans="1:13" ht="14.25">
      <c r="A48" s="121"/>
      <c r="B48" s="216"/>
      <c r="C48" s="553"/>
      <c r="D48" s="542"/>
      <c r="E48" s="542"/>
      <c r="F48" s="542"/>
      <c r="G48" s="558"/>
      <c r="H48" s="542"/>
      <c r="I48" s="542"/>
      <c r="J48" s="542"/>
      <c r="K48" s="542"/>
      <c r="L48" s="542"/>
      <c r="M48" s="71"/>
    </row>
    <row r="49" spans="1:12" ht="14.25">
      <c r="A49" s="121"/>
      <c r="B49" s="122" t="s">
        <v>419</v>
      </c>
      <c r="C49" s="553"/>
      <c r="D49" s="542"/>
      <c r="E49" s="542"/>
      <c r="F49" s="542"/>
      <c r="G49" s="542"/>
      <c r="H49" s="542"/>
      <c r="I49" s="542"/>
      <c r="J49" s="542"/>
      <c r="K49" s="542"/>
      <c r="L49" s="542"/>
    </row>
    <row r="50" spans="1:12" ht="14.25">
      <c r="A50" s="121"/>
      <c r="B50" s="77" t="s">
        <v>160</v>
      </c>
      <c r="C50" s="553"/>
      <c r="D50" s="542"/>
      <c r="E50" s="543">
        <v>11.893</v>
      </c>
      <c r="F50" s="543">
        <v>9.020367864183251</v>
      </c>
      <c r="G50" s="543">
        <v>6.6611850200102385</v>
      </c>
      <c r="H50" s="543">
        <v>6.766510133310931</v>
      </c>
      <c r="I50" s="543">
        <v>6.873855773085443</v>
      </c>
      <c r="J50" s="543">
        <v>6.983261490105327</v>
      </c>
      <c r="K50" s="543">
        <v>7.094767617559991</v>
      </c>
      <c r="L50" s="543">
        <v>7.208415286619075</v>
      </c>
    </row>
    <row r="51" spans="1:12" ht="14.25">
      <c r="A51" s="121"/>
      <c r="B51" s="77"/>
      <c r="C51" s="553"/>
      <c r="D51" s="542"/>
      <c r="E51" s="542"/>
      <c r="F51" s="542"/>
      <c r="G51" s="542"/>
      <c r="H51" s="542"/>
      <c r="I51" s="542"/>
      <c r="J51" s="542"/>
      <c r="K51" s="542"/>
      <c r="L51" s="542"/>
    </row>
    <row r="52" spans="1:12" ht="14.25">
      <c r="A52" s="121"/>
      <c r="B52" s="77"/>
      <c r="C52" s="553"/>
      <c r="D52" s="542"/>
      <c r="E52" s="542"/>
      <c r="F52" s="542"/>
      <c r="G52" s="542"/>
      <c r="H52" s="542"/>
      <c r="I52" s="542"/>
      <c r="J52" s="542"/>
      <c r="K52" s="542"/>
      <c r="L52" s="542"/>
    </row>
    <row r="53" spans="1:12" ht="14.25">
      <c r="A53" s="121"/>
      <c r="B53" s="110" t="s">
        <v>161</v>
      </c>
      <c r="C53" s="553"/>
      <c r="D53" s="542"/>
      <c r="E53" s="542"/>
      <c r="F53" s="542"/>
      <c r="G53" s="542"/>
      <c r="H53" s="542"/>
      <c r="I53" s="542"/>
      <c r="J53" s="542"/>
      <c r="K53" s="542"/>
      <c r="L53" s="542"/>
    </row>
    <row r="54" spans="1:12" ht="14.25">
      <c r="A54" s="121"/>
      <c r="B54" s="545" t="s">
        <v>535</v>
      </c>
      <c r="C54" s="549"/>
      <c r="D54" s="546"/>
      <c r="E54" s="546">
        <v>4.088224365243601</v>
      </c>
      <c r="F54" s="546">
        <v>3.865416360808537</v>
      </c>
      <c r="G54" s="563">
        <v>11.86045240855998</v>
      </c>
      <c r="H54" s="542"/>
      <c r="I54" s="542"/>
      <c r="J54" s="542"/>
      <c r="K54" s="542"/>
      <c r="L54" s="542"/>
    </row>
    <row r="55" spans="1:12" ht="14.25">
      <c r="A55" s="121"/>
      <c r="B55" s="554" t="s">
        <v>536</v>
      </c>
      <c r="C55" s="555"/>
      <c r="D55" s="556"/>
      <c r="E55" s="556">
        <v>11.7</v>
      </c>
      <c r="F55" s="556">
        <v>11.3</v>
      </c>
      <c r="G55" s="542">
        <v>11.3</v>
      </c>
      <c r="H55" s="542"/>
      <c r="I55" s="542"/>
      <c r="J55" s="542"/>
      <c r="K55" s="542"/>
      <c r="L55" s="542"/>
    </row>
    <row r="56" spans="1:7" ht="14.25">
      <c r="A56" s="121"/>
      <c r="B56" s="564" t="s">
        <v>768</v>
      </c>
      <c r="C56" s="565"/>
      <c r="D56" s="566"/>
      <c r="E56" s="566">
        <v>11.1</v>
      </c>
      <c r="F56" s="566">
        <v>11.86045240855998</v>
      </c>
      <c r="G56" s="566">
        <v>11.86045240855998</v>
      </c>
    </row>
    <row r="57" spans="1:7" ht="14.25">
      <c r="A57" s="121"/>
      <c r="B57" s="545" t="s">
        <v>537</v>
      </c>
      <c r="C57" s="549"/>
      <c r="D57" s="546"/>
      <c r="E57" s="546">
        <v>2.8922735504984387</v>
      </c>
      <c r="F57" s="546">
        <v>2.8186378587338825</v>
      </c>
      <c r="G57" s="563">
        <v>10.55582797321977</v>
      </c>
    </row>
    <row r="58" spans="1:12" s="71" customFormat="1" ht="14.25">
      <c r="A58" s="121"/>
      <c r="B58" s="121"/>
      <c r="C58" s="562"/>
      <c r="D58" s="558"/>
      <c r="E58" s="558"/>
      <c r="F58" s="558"/>
      <c r="G58" s="172"/>
      <c r="H58" s="558"/>
      <c r="I58" s="558"/>
      <c r="J58" s="558"/>
      <c r="K58" s="558"/>
      <c r="L58" s="558"/>
    </row>
    <row r="59" spans="1:12" ht="14.25">
      <c r="A59" s="121"/>
      <c r="B59" s="554" t="s">
        <v>659</v>
      </c>
      <c r="C59" s="555"/>
      <c r="D59" s="556"/>
      <c r="E59" s="556">
        <v>4.552446570407437</v>
      </c>
      <c r="F59" s="556">
        <v>3.583103396695516</v>
      </c>
      <c r="G59" s="542">
        <v>6.226948280859076</v>
      </c>
      <c r="H59" s="542"/>
      <c r="I59" s="542"/>
      <c r="J59" s="542"/>
      <c r="K59" s="542"/>
      <c r="L59" s="542"/>
    </row>
    <row r="60" spans="1:12" ht="14.25">
      <c r="A60" s="121"/>
      <c r="B60" s="564" t="s">
        <v>300</v>
      </c>
      <c r="C60" s="565"/>
      <c r="D60" s="566"/>
      <c r="E60" s="567">
        <v>0.233</v>
      </c>
      <c r="F60" s="567">
        <v>0.207</v>
      </c>
      <c r="G60" s="567">
        <v>0.393</v>
      </c>
      <c r="I60" s="542"/>
      <c r="J60" s="542"/>
      <c r="K60" s="542"/>
      <c r="L60" s="547"/>
    </row>
    <row r="61" spans="1:12" ht="14.25">
      <c r="A61" s="121"/>
      <c r="B61" s="77" t="s">
        <v>570</v>
      </c>
      <c r="C61" s="553"/>
      <c r="D61" s="542"/>
      <c r="E61" s="566">
        <v>37</v>
      </c>
      <c r="F61" s="63">
        <v>0</v>
      </c>
      <c r="G61" s="542">
        <v>5.182100601493819</v>
      </c>
      <c r="H61" s="542"/>
      <c r="I61" s="542"/>
      <c r="J61" s="542"/>
      <c r="K61" s="542"/>
      <c r="L61" s="547"/>
    </row>
    <row r="62" spans="1:12" ht="14.25">
      <c r="A62" s="121"/>
      <c r="B62" s="63" t="s">
        <v>431</v>
      </c>
      <c r="C62" s="553"/>
      <c r="D62" s="542"/>
      <c r="E62" s="542"/>
      <c r="F62" s="542"/>
      <c r="G62" s="566">
        <v>2.7829543480216525</v>
      </c>
      <c r="H62" s="542"/>
      <c r="I62" s="542"/>
      <c r="J62" s="542"/>
      <c r="K62" s="542"/>
      <c r="L62" s="131"/>
    </row>
    <row r="63" spans="1:7" ht="14.25">
      <c r="A63" s="121"/>
      <c r="B63" s="63" t="s">
        <v>658</v>
      </c>
      <c r="C63" s="553"/>
      <c r="D63" s="542"/>
      <c r="E63" s="542">
        <v>8.2</v>
      </c>
      <c r="F63" s="542">
        <v>8.9</v>
      </c>
      <c r="G63" s="542">
        <v>11</v>
      </c>
    </row>
    <row r="64" spans="2:7" ht="14.25">
      <c r="B64" s="63" t="s">
        <v>661</v>
      </c>
      <c r="E64" s="70">
        <v>1.08</v>
      </c>
      <c r="F64" s="70">
        <v>1.7</v>
      </c>
      <c r="G64" s="70">
        <v>1.2459718789600158</v>
      </c>
    </row>
    <row r="65" spans="1:7" ht="14.25">
      <c r="A65" s="121"/>
      <c r="B65" s="77" t="s">
        <v>495</v>
      </c>
      <c r="C65" s="77"/>
      <c r="D65" s="542">
        <v>1038.010424933289</v>
      </c>
      <c r="E65" s="542"/>
      <c r="F65" s="542"/>
      <c r="G65" s="542"/>
    </row>
    <row r="66" spans="2:7" ht="14.25">
      <c r="B66" s="63" t="s">
        <v>550</v>
      </c>
      <c r="E66" s="556">
        <v>0</v>
      </c>
      <c r="F66" s="556">
        <v>0</v>
      </c>
      <c r="G66" s="556">
        <v>0</v>
      </c>
    </row>
    <row r="67" spans="2:7" ht="14.25">
      <c r="B67" s="63" t="s">
        <v>551</v>
      </c>
      <c r="E67" s="556">
        <v>0</v>
      </c>
      <c r="F67" s="556">
        <v>0</v>
      </c>
      <c r="G67" s="556">
        <v>0</v>
      </c>
    </row>
    <row r="68" ht="14.25"/>
    <row r="69" ht="14.25">
      <c r="B69" s="69"/>
    </row>
    <row r="70" spans="2:7" ht="14.25">
      <c r="B70" s="554" t="s">
        <v>785</v>
      </c>
      <c r="E70" s="568">
        <v>231</v>
      </c>
      <c r="F70" s="568">
        <v>230.8</v>
      </c>
      <c r="G70" s="568">
        <v>239.1</v>
      </c>
    </row>
    <row r="71" spans="2:7" ht="14.25">
      <c r="B71" s="554" t="s">
        <v>66</v>
      </c>
      <c r="E71" s="568">
        <v>-98.1</v>
      </c>
      <c r="F71" s="568">
        <v>-94.4</v>
      </c>
      <c r="G71" s="568">
        <v>-103.3</v>
      </c>
    </row>
    <row r="72" spans="2:12" ht="14.25">
      <c r="B72" s="554" t="s">
        <v>67</v>
      </c>
      <c r="E72" s="568">
        <v>-20.7</v>
      </c>
      <c r="F72" s="568">
        <v>-22.265170731707315</v>
      </c>
      <c r="G72" s="568">
        <v>-22.265170731707315</v>
      </c>
      <c r="H72" s="569"/>
      <c r="I72" s="569"/>
      <c r="J72" s="569"/>
      <c r="K72" s="569"/>
      <c r="L72" s="569"/>
    </row>
    <row r="73" spans="2:12" ht="14.25">
      <c r="B73" s="554" t="s">
        <v>8</v>
      </c>
      <c r="E73" s="568">
        <v>-25.953366065149996</v>
      </c>
      <c r="F73" s="568">
        <v>-29.8</v>
      </c>
      <c r="G73" s="568">
        <v>-27.5</v>
      </c>
      <c r="H73" s="71"/>
      <c r="I73" s="71"/>
      <c r="J73" s="71"/>
      <c r="K73" s="71"/>
      <c r="L73" s="71"/>
    </row>
    <row r="74" spans="2:12" ht="14.25">
      <c r="B74" s="554" t="s">
        <v>754</v>
      </c>
      <c r="E74" s="568">
        <v>-2.9</v>
      </c>
      <c r="F74" s="568">
        <v>-2.5</v>
      </c>
      <c r="G74" s="568">
        <v>-2.5</v>
      </c>
      <c r="H74" s="71"/>
      <c r="I74" s="71"/>
      <c r="J74" s="71"/>
      <c r="K74" s="71"/>
      <c r="L74" s="71"/>
    </row>
    <row r="75" spans="2:12" ht="14.25">
      <c r="B75" s="554" t="s">
        <v>57</v>
      </c>
      <c r="E75" s="568">
        <v>-38.3</v>
      </c>
      <c r="F75" s="568">
        <v>-45</v>
      </c>
      <c r="G75" s="568">
        <v>-46.1</v>
      </c>
      <c r="H75" s="569"/>
      <c r="I75" s="569"/>
      <c r="J75" s="569"/>
      <c r="K75" s="569"/>
      <c r="L75" s="569"/>
    </row>
    <row r="76" spans="2:15" ht="14.25">
      <c r="B76" s="554" t="s">
        <v>162</v>
      </c>
      <c r="E76" s="568">
        <v>56.036890299999996</v>
      </c>
      <c r="F76" s="568">
        <v>39.746829299999995</v>
      </c>
      <c r="G76" s="568">
        <v>43.03</v>
      </c>
      <c r="H76" s="558"/>
      <c r="I76" s="558"/>
      <c r="J76" s="558"/>
      <c r="K76" s="558"/>
      <c r="L76" s="558"/>
      <c r="O76" s="70"/>
    </row>
    <row r="77" spans="2:15" ht="14.25">
      <c r="B77" s="554" t="s">
        <v>586</v>
      </c>
      <c r="E77" s="568">
        <v>30.657174459441052</v>
      </c>
      <c r="F77" s="568">
        <v>28.84671199656361</v>
      </c>
      <c r="G77" s="568">
        <v>0</v>
      </c>
      <c r="H77" s="71"/>
      <c r="I77" s="71"/>
      <c r="J77" s="71"/>
      <c r="K77" s="71"/>
      <c r="L77" s="71"/>
      <c r="O77" s="70"/>
    </row>
    <row r="78" spans="2:15" ht="14.25">
      <c r="B78" s="554" t="s">
        <v>584</v>
      </c>
      <c r="E78" s="568">
        <v>30.9</v>
      </c>
      <c r="F78" s="568">
        <v>30.53</v>
      </c>
      <c r="G78" s="568">
        <v>32.3</v>
      </c>
      <c r="H78" s="558"/>
      <c r="I78" s="558"/>
      <c r="J78" s="558"/>
      <c r="K78" s="558"/>
      <c r="L78" s="558"/>
      <c r="O78" s="70"/>
    </row>
    <row r="79" spans="2:15" ht="14.25">
      <c r="B79" s="554" t="s">
        <v>587</v>
      </c>
      <c r="E79" s="568">
        <v>11.074276678253508</v>
      </c>
      <c r="F79" s="568">
        <v>9.368536763686148</v>
      </c>
      <c r="G79" s="568">
        <v>0</v>
      </c>
      <c r="H79" s="71"/>
      <c r="I79" s="71"/>
      <c r="J79" s="71"/>
      <c r="K79" s="71"/>
      <c r="L79" s="71"/>
      <c r="O79" s="70"/>
    </row>
    <row r="80" spans="2:15" ht="14.25">
      <c r="B80" s="554" t="s">
        <v>585</v>
      </c>
      <c r="E80" s="568">
        <v>23.89</v>
      </c>
      <c r="F80" s="568">
        <v>23.5854210832985</v>
      </c>
      <c r="G80" s="568">
        <v>25.5</v>
      </c>
      <c r="H80" s="558"/>
      <c r="I80" s="558"/>
      <c r="J80" s="558"/>
      <c r="K80" s="558"/>
      <c r="L80" s="558"/>
      <c r="O80" s="70"/>
    </row>
    <row r="81" spans="2:12" ht="14.25">
      <c r="B81" s="554" t="s">
        <v>588</v>
      </c>
      <c r="E81" s="568">
        <v>0</v>
      </c>
      <c r="F81" s="568">
        <v>0</v>
      </c>
      <c r="G81" s="568">
        <v>0</v>
      </c>
      <c r="H81" s="71"/>
      <c r="I81" s="71"/>
      <c r="J81" s="71"/>
      <c r="K81" s="71"/>
      <c r="L81" s="71"/>
    </row>
    <row r="82" spans="2:12" ht="14.25">
      <c r="B82" s="554" t="s">
        <v>589</v>
      </c>
      <c r="E82" s="568">
        <v>0</v>
      </c>
      <c r="F82" s="568">
        <v>0</v>
      </c>
      <c r="G82" s="568">
        <v>0</v>
      </c>
      <c r="H82" s="71"/>
      <c r="I82" s="71"/>
      <c r="J82" s="71"/>
      <c r="K82" s="71"/>
      <c r="L82" s="71"/>
    </row>
    <row r="83" spans="2:12" ht="14.25">
      <c r="B83" s="554" t="s">
        <v>536</v>
      </c>
      <c r="C83" s="555"/>
      <c r="D83" s="556"/>
      <c r="E83" s="568">
        <v>11.7</v>
      </c>
      <c r="F83" s="568">
        <v>11.3</v>
      </c>
      <c r="G83" s="568">
        <v>11.3</v>
      </c>
      <c r="H83" s="569"/>
      <c r="I83" s="569"/>
      <c r="J83" s="569"/>
      <c r="K83" s="569"/>
      <c r="L83" s="569"/>
    </row>
    <row r="84" spans="2:12" ht="14.25">
      <c r="B84" s="554" t="s">
        <v>163</v>
      </c>
      <c r="C84" s="555"/>
      <c r="D84" s="556"/>
      <c r="E84" s="568">
        <v>2.5498916263909646</v>
      </c>
      <c r="F84" s="568">
        <v>2.484972789857819</v>
      </c>
      <c r="G84" s="568">
        <v>0</v>
      </c>
      <c r="H84" s="569"/>
      <c r="I84" s="569"/>
      <c r="J84" s="569"/>
      <c r="K84" s="569"/>
      <c r="L84" s="569"/>
    </row>
    <row r="85" spans="2:7" ht="14.25">
      <c r="B85" s="554" t="s">
        <v>607</v>
      </c>
      <c r="C85" s="555"/>
      <c r="D85" s="556"/>
      <c r="E85" s="568">
        <v>5.874124606977337</v>
      </c>
      <c r="F85" s="568">
        <v>5.227115543414635</v>
      </c>
      <c r="G85" s="568">
        <v>9.568237602295653</v>
      </c>
    </row>
    <row r="86" spans="2:7" ht="14.25">
      <c r="B86" s="554" t="s">
        <v>481</v>
      </c>
      <c r="C86" s="555"/>
      <c r="D86" s="556"/>
      <c r="E86" s="70">
        <v>4.552446570407437</v>
      </c>
      <c r="F86" s="70">
        <v>3.583103396695516</v>
      </c>
      <c r="G86" s="70">
        <v>6.226948280859076</v>
      </c>
    </row>
    <row r="87" spans="2:7" ht="14.25">
      <c r="B87" s="554" t="s">
        <v>657</v>
      </c>
      <c r="C87" s="555"/>
      <c r="D87" s="556"/>
      <c r="E87" s="568">
        <v>8.2</v>
      </c>
      <c r="F87" s="568">
        <v>8.9</v>
      </c>
      <c r="G87" s="568">
        <v>11</v>
      </c>
    </row>
    <row r="88" spans="2:7" ht="14.25">
      <c r="B88" s="63" t="s">
        <v>667</v>
      </c>
      <c r="E88" s="542">
        <v>1.08</v>
      </c>
      <c r="F88" s="542">
        <v>1.7</v>
      </c>
      <c r="G88" s="542">
        <v>1.2459718789600158</v>
      </c>
    </row>
    <row r="89" spans="5:7" ht="14.25">
      <c r="E89" s="542"/>
      <c r="F89" s="542"/>
      <c r="G89" s="542"/>
    </row>
    <row r="90" spans="5:7" ht="14.25">
      <c r="E90" s="542"/>
      <c r="F90" s="542"/>
      <c r="G90" s="542"/>
    </row>
    <row r="91" spans="2:7" ht="14.25">
      <c r="B91" s="69" t="s">
        <v>164</v>
      </c>
      <c r="E91" s="542"/>
      <c r="F91" s="542"/>
      <c r="G91" s="542"/>
    </row>
    <row r="92" spans="3:4" ht="14.25">
      <c r="C92" s="555"/>
      <c r="D92" s="556"/>
    </row>
    <row r="93" spans="2:7" ht="14.25">
      <c r="B93" s="554" t="s">
        <v>178</v>
      </c>
      <c r="C93" s="555"/>
      <c r="D93" s="556"/>
      <c r="E93" s="556">
        <v>0</v>
      </c>
      <c r="F93" s="556">
        <v>0</v>
      </c>
      <c r="G93" s="542">
        <v>0</v>
      </c>
    </row>
    <row r="94" spans="2:7" ht="14.25">
      <c r="B94" s="554" t="s">
        <v>179</v>
      </c>
      <c r="C94" s="555"/>
      <c r="D94" s="556"/>
      <c r="E94" s="556">
        <v>1</v>
      </c>
      <c r="F94" s="556">
        <v>1.7</v>
      </c>
      <c r="G94" s="542">
        <v>1.7</v>
      </c>
    </row>
    <row r="95" spans="2:7" ht="14.25">
      <c r="B95" s="554" t="s">
        <v>180</v>
      </c>
      <c r="C95" s="555"/>
      <c r="D95" s="556"/>
      <c r="E95" s="556">
        <v>-3.2</v>
      </c>
      <c r="F95" s="556">
        <v>-4.2</v>
      </c>
      <c r="G95" s="542">
        <v>-4.2</v>
      </c>
    </row>
    <row r="96" spans="2:7" ht="14.25">
      <c r="B96" s="554" t="s">
        <v>192</v>
      </c>
      <c r="C96" s="555"/>
      <c r="D96" s="556"/>
      <c r="E96" s="556">
        <v>0</v>
      </c>
      <c r="F96" s="556">
        <v>0</v>
      </c>
      <c r="G96" s="542">
        <v>0</v>
      </c>
    </row>
    <row r="97" spans="2:7" ht="14.25">
      <c r="B97" s="554" t="s">
        <v>149</v>
      </c>
      <c r="C97" s="555"/>
      <c r="D97" s="556"/>
      <c r="E97" s="556">
        <v>0</v>
      </c>
      <c r="F97" s="556">
        <v>0</v>
      </c>
      <c r="G97" s="542">
        <v>0</v>
      </c>
    </row>
    <row r="98" spans="2:12" ht="25.5">
      <c r="B98" s="238" t="s">
        <v>231</v>
      </c>
      <c r="C98" s="555"/>
      <c r="D98" s="556"/>
      <c r="E98" s="570">
        <v>0.775</v>
      </c>
      <c r="F98" s="570">
        <v>0.685483870967742</v>
      </c>
      <c r="G98" s="570">
        <v>0.6507936507936508</v>
      </c>
      <c r="H98" s="557">
        <v>-2.389334361624286</v>
      </c>
      <c r="I98" s="557">
        <v>-2.7889220003174033</v>
      </c>
      <c r="J98" s="557">
        <v>-2.367233789872569</v>
      </c>
      <c r="K98" s="557">
        <v>-2.0229707216650974</v>
      </c>
      <c r="L98" s="557">
        <v>-2.052182710818331</v>
      </c>
    </row>
    <row r="99" spans="2:7" ht="14.25">
      <c r="B99" s="582"/>
      <c r="E99" s="575"/>
      <c r="F99" s="575"/>
      <c r="G99" s="575"/>
    </row>
    <row r="100" spans="2:7" ht="14.25">
      <c r="B100" s="582"/>
      <c r="E100" s="575"/>
      <c r="F100" s="575"/>
      <c r="G100" s="575"/>
    </row>
    <row r="101" spans="2:7" ht="14.25">
      <c r="B101" s="582"/>
      <c r="E101" s="575"/>
      <c r="F101" s="575"/>
      <c r="G101" s="575"/>
    </row>
    <row r="102" ht="14.25">
      <c r="B102" s="69" t="s">
        <v>165</v>
      </c>
    </row>
    <row r="103" spans="2:12" ht="14.25">
      <c r="B103" s="63" t="s">
        <v>636</v>
      </c>
      <c r="E103" s="571" t="s">
        <v>21</v>
      </c>
      <c r="F103" s="571" t="s">
        <v>21</v>
      </c>
      <c r="G103" s="571" t="s">
        <v>21</v>
      </c>
      <c r="H103" s="571" t="s">
        <v>21</v>
      </c>
      <c r="I103" s="571" t="s">
        <v>21</v>
      </c>
      <c r="J103" s="571" t="s">
        <v>21</v>
      </c>
      <c r="K103" s="571" t="s">
        <v>21</v>
      </c>
      <c r="L103" s="571" t="s">
        <v>21</v>
      </c>
    </row>
    <row r="104" spans="2:12" ht="14.25">
      <c r="B104" s="63" t="s">
        <v>647</v>
      </c>
      <c r="E104" s="563">
        <v>1257.118</v>
      </c>
      <c r="F104" s="563">
        <v>1259.113</v>
      </c>
      <c r="G104" s="563">
        <v>1256.841</v>
      </c>
      <c r="H104" s="563">
        <v>1263.264</v>
      </c>
      <c r="I104" s="563">
        <v>1297.687</v>
      </c>
      <c r="J104" s="563">
        <v>1307.057</v>
      </c>
      <c r="K104" s="563">
        <v>1306.548</v>
      </c>
      <c r="L104" s="563">
        <v>1303.247</v>
      </c>
    </row>
    <row r="105" spans="2:13" ht="14.25">
      <c r="B105" s="63" t="s">
        <v>111</v>
      </c>
      <c r="M105" s="77"/>
    </row>
    <row r="106" ht="14.25"/>
    <row r="107" spans="2:12" ht="14.25">
      <c r="B107" s="63" t="s">
        <v>0</v>
      </c>
      <c r="E107" s="563">
        <v>0.97</v>
      </c>
      <c r="F107" s="563">
        <v>3.03</v>
      </c>
      <c r="G107" s="563">
        <v>3.03</v>
      </c>
      <c r="H107" s="563">
        <v>3.03</v>
      </c>
      <c r="I107" s="563">
        <v>3.03</v>
      </c>
      <c r="J107" s="563">
        <v>3.03</v>
      </c>
      <c r="K107" s="563">
        <v>3.03</v>
      </c>
      <c r="L107" s="563">
        <v>3.03</v>
      </c>
    </row>
    <row r="108" spans="2:12" ht="14.25">
      <c r="B108" s="63" t="s">
        <v>756</v>
      </c>
      <c r="E108" s="563" t="s">
        <v>21</v>
      </c>
      <c r="F108" s="563" t="s">
        <v>21</v>
      </c>
      <c r="G108" s="563" t="s">
        <v>21</v>
      </c>
      <c r="H108" s="563" t="s">
        <v>21</v>
      </c>
      <c r="I108" s="563" t="s">
        <v>21</v>
      </c>
      <c r="J108" s="563" t="s">
        <v>21</v>
      </c>
      <c r="K108" s="563" t="s">
        <v>21</v>
      </c>
      <c r="L108" s="563" t="s">
        <v>21</v>
      </c>
    </row>
    <row r="109" spans="2:12" ht="14.25">
      <c r="B109" s="63" t="s">
        <v>637</v>
      </c>
      <c r="E109" s="563">
        <v>34.737</v>
      </c>
      <c r="F109" s="563">
        <v>61.536</v>
      </c>
      <c r="G109" s="563">
        <v>98.191</v>
      </c>
      <c r="H109" s="563">
        <v>136.14100000000002</v>
      </c>
      <c r="I109" s="563">
        <v>177.322</v>
      </c>
      <c r="J109" s="563">
        <v>216.67200000000003</v>
      </c>
      <c r="K109" s="563">
        <v>261.587</v>
      </c>
      <c r="L109" s="563">
        <v>310.359</v>
      </c>
    </row>
    <row r="110" spans="2:12" ht="14.25">
      <c r="B110" s="63" t="s">
        <v>648</v>
      </c>
      <c r="E110" s="563" t="s">
        <v>21</v>
      </c>
      <c r="F110" s="563" t="s">
        <v>21</v>
      </c>
      <c r="G110" s="563" t="s">
        <v>21</v>
      </c>
      <c r="H110" s="563" t="s">
        <v>21</v>
      </c>
      <c r="I110" s="563" t="s">
        <v>21</v>
      </c>
      <c r="J110" s="563" t="s">
        <v>21</v>
      </c>
      <c r="K110" s="563" t="s">
        <v>21</v>
      </c>
      <c r="L110" s="563" t="s">
        <v>21</v>
      </c>
    </row>
    <row r="111" spans="2:12" ht="14.25">
      <c r="B111" s="63" t="s">
        <v>649</v>
      </c>
      <c r="E111" s="563">
        <v>4.164</v>
      </c>
      <c r="F111" s="563">
        <v>20.679</v>
      </c>
      <c r="G111" s="563">
        <v>28.783</v>
      </c>
      <c r="H111" s="563">
        <v>60.969</v>
      </c>
      <c r="I111" s="563">
        <v>59.748</v>
      </c>
      <c r="J111" s="563">
        <v>57.223</v>
      </c>
      <c r="K111" s="563">
        <v>60.297</v>
      </c>
      <c r="L111" s="563">
        <v>67.424</v>
      </c>
    </row>
    <row r="112" spans="2:12" ht="14.25">
      <c r="B112" s="63" t="s">
        <v>638</v>
      </c>
      <c r="E112" s="571" t="s">
        <v>21</v>
      </c>
      <c r="F112" s="571" t="s">
        <v>21</v>
      </c>
      <c r="G112" s="571" t="s">
        <v>21</v>
      </c>
      <c r="H112" s="571" t="s">
        <v>21</v>
      </c>
      <c r="I112" s="571" t="s">
        <v>21</v>
      </c>
      <c r="J112" s="571" t="s">
        <v>21</v>
      </c>
      <c r="K112" s="571" t="s">
        <v>21</v>
      </c>
      <c r="L112" s="571" t="s">
        <v>21</v>
      </c>
    </row>
    <row r="113" ht="14.25"/>
    <row r="114" spans="2:12" ht="14.25">
      <c r="B114" s="63" t="s">
        <v>639</v>
      </c>
      <c r="E114" s="573" t="s">
        <v>21</v>
      </c>
      <c r="F114" s="573" t="s">
        <v>21</v>
      </c>
      <c r="G114" s="573" t="s">
        <v>21</v>
      </c>
      <c r="H114" s="573" t="s">
        <v>21</v>
      </c>
      <c r="I114" s="573" t="s">
        <v>21</v>
      </c>
      <c r="J114" s="573" t="s">
        <v>21</v>
      </c>
      <c r="K114" s="573" t="s">
        <v>21</v>
      </c>
      <c r="L114" s="573" t="s">
        <v>21</v>
      </c>
    </row>
    <row r="115" spans="2:12" ht="14.25">
      <c r="B115" s="63" t="s">
        <v>640</v>
      </c>
      <c r="E115" s="574" t="s">
        <v>21</v>
      </c>
      <c r="F115" s="574" t="s">
        <v>21</v>
      </c>
      <c r="G115" s="574" t="s">
        <v>21</v>
      </c>
      <c r="H115" s="574" t="s">
        <v>21</v>
      </c>
      <c r="I115" s="574" t="s">
        <v>21</v>
      </c>
      <c r="J115" s="574" t="s">
        <v>21</v>
      </c>
      <c r="K115" s="574" t="s">
        <v>21</v>
      </c>
      <c r="L115" s="574" t="s">
        <v>21</v>
      </c>
    </row>
    <row r="116" spans="2:12" ht="14.25">
      <c r="B116" s="63" t="s">
        <v>641</v>
      </c>
      <c r="E116" s="574">
        <v>-69.102</v>
      </c>
      <c r="F116" s="574">
        <v>-101.66</v>
      </c>
      <c r="G116" s="574">
        <v>-111.864</v>
      </c>
      <c r="H116" s="574">
        <v>-119.515</v>
      </c>
      <c r="I116" s="574">
        <v>-145.074</v>
      </c>
      <c r="J116" s="574">
        <v>-152.168</v>
      </c>
      <c r="K116" s="574">
        <v>-163.337</v>
      </c>
      <c r="L116" s="574">
        <v>-177.767</v>
      </c>
    </row>
    <row r="117" spans="5:12" ht="14.25">
      <c r="E117" s="77"/>
      <c r="F117" s="77"/>
      <c r="G117" s="77"/>
      <c r="H117" s="77"/>
      <c r="I117" s="77"/>
      <c r="J117" s="77"/>
      <c r="K117" s="77"/>
      <c r="L117" s="77"/>
    </row>
    <row r="118" spans="2:12" ht="14.25">
      <c r="B118" s="63" t="s">
        <v>650</v>
      </c>
      <c r="E118" s="574">
        <v>-874.91</v>
      </c>
      <c r="F118" s="574">
        <v>-924.48</v>
      </c>
      <c r="G118" s="574">
        <v>-980.601</v>
      </c>
      <c r="H118" s="574">
        <v>-1080.305</v>
      </c>
      <c r="I118" s="574">
        <v>-1153.527</v>
      </c>
      <c r="J118" s="574">
        <v>-1206.925</v>
      </c>
      <c r="K118" s="574">
        <v>-1251.043</v>
      </c>
      <c r="L118" s="574">
        <v>-1293.802</v>
      </c>
    </row>
    <row r="119" spans="2:12" ht="14.25">
      <c r="B119" s="63" t="s">
        <v>651</v>
      </c>
      <c r="E119" s="574">
        <v>-325.754</v>
      </c>
      <c r="F119" s="574">
        <v>-381.552</v>
      </c>
      <c r="G119" s="574">
        <v>-438.771</v>
      </c>
      <c r="H119" s="574">
        <v>-493.363</v>
      </c>
      <c r="I119" s="574">
        <v>-562.504</v>
      </c>
      <c r="J119" s="574">
        <v>-649.154</v>
      </c>
      <c r="K119" s="574">
        <v>-748.257</v>
      </c>
      <c r="L119" s="574">
        <v>-859.209</v>
      </c>
    </row>
    <row r="120" spans="2:12" ht="14.25">
      <c r="B120" s="63" t="s">
        <v>642</v>
      </c>
      <c r="E120" s="574" t="s">
        <v>21</v>
      </c>
      <c r="F120" s="574" t="s">
        <v>21</v>
      </c>
      <c r="G120" s="574" t="s">
        <v>21</v>
      </c>
      <c r="H120" s="574" t="s">
        <v>21</v>
      </c>
      <c r="I120" s="574" t="s">
        <v>21</v>
      </c>
      <c r="J120" s="574" t="s">
        <v>21</v>
      </c>
      <c r="K120" s="574" t="s">
        <v>21</v>
      </c>
      <c r="L120" s="574" t="s">
        <v>21</v>
      </c>
    </row>
    <row r="121" spans="2:12" ht="14.25">
      <c r="B121" s="63" t="s">
        <v>788</v>
      </c>
      <c r="E121" s="574" t="s">
        <v>21</v>
      </c>
      <c r="F121" s="574" t="s">
        <v>21</v>
      </c>
      <c r="G121" s="574" t="s">
        <v>21</v>
      </c>
      <c r="H121" s="574" t="s">
        <v>21</v>
      </c>
      <c r="I121" s="574" t="s">
        <v>21</v>
      </c>
      <c r="J121" s="574" t="s">
        <v>21</v>
      </c>
      <c r="K121" s="574" t="s">
        <v>21</v>
      </c>
      <c r="L121" s="574" t="s">
        <v>21</v>
      </c>
    </row>
    <row r="122" spans="2:12" ht="14.25">
      <c r="B122" s="63" t="s">
        <v>69</v>
      </c>
      <c r="E122" s="574" t="s">
        <v>21</v>
      </c>
      <c r="F122" s="574" t="s">
        <v>21</v>
      </c>
      <c r="G122" s="574" t="s">
        <v>21</v>
      </c>
      <c r="H122" s="574" t="s">
        <v>21</v>
      </c>
      <c r="I122" s="574" t="s">
        <v>21</v>
      </c>
      <c r="J122" s="574" t="s">
        <v>21</v>
      </c>
      <c r="K122" s="574" t="s">
        <v>21</v>
      </c>
      <c r="L122" s="574" t="s">
        <v>21</v>
      </c>
    </row>
    <row r="123" spans="2:12" ht="14.25">
      <c r="B123" s="63" t="s">
        <v>344</v>
      </c>
      <c r="E123" s="574">
        <v>-14.63</v>
      </c>
      <c r="F123" s="574">
        <v>-17.421</v>
      </c>
      <c r="G123" s="574">
        <v>-17.421</v>
      </c>
      <c r="H123" s="574">
        <v>-17.421</v>
      </c>
      <c r="I123" s="574">
        <v>-17.421</v>
      </c>
      <c r="J123" s="574">
        <v>-17.421</v>
      </c>
      <c r="K123" s="574">
        <v>-17.421</v>
      </c>
      <c r="L123" s="574">
        <v>-17.421</v>
      </c>
    </row>
    <row r="124" spans="2:12" ht="14.25">
      <c r="B124" s="63" t="s">
        <v>643</v>
      </c>
      <c r="E124" s="574">
        <v>-19.405</v>
      </c>
      <c r="F124" s="574">
        <v>-26.429</v>
      </c>
      <c r="G124" s="574">
        <v>-28.544</v>
      </c>
      <c r="H124" s="574">
        <v>-30.827</v>
      </c>
      <c r="I124" s="574">
        <v>-33.293</v>
      </c>
      <c r="J124" s="574">
        <v>-35.957</v>
      </c>
      <c r="K124" s="574">
        <v>-38.833</v>
      </c>
      <c r="L124" s="574">
        <v>-41.94</v>
      </c>
    </row>
    <row r="125" spans="2:12" ht="14.25">
      <c r="B125" s="63" t="s">
        <v>653</v>
      </c>
      <c r="E125" s="574">
        <v>-0.162</v>
      </c>
      <c r="F125" s="574" t="s">
        <v>21</v>
      </c>
      <c r="G125" s="574" t="s">
        <v>21</v>
      </c>
      <c r="H125" s="574" t="s">
        <v>21</v>
      </c>
      <c r="I125" s="574" t="s">
        <v>21</v>
      </c>
      <c r="J125" s="574" t="s">
        <v>21</v>
      </c>
      <c r="K125" s="574" t="s">
        <v>21</v>
      </c>
      <c r="L125" s="574" t="s">
        <v>21</v>
      </c>
    </row>
    <row r="126" spans="2:12" ht="14.25">
      <c r="B126" s="63" t="s">
        <v>117</v>
      </c>
      <c r="E126" s="574">
        <v>-52.404</v>
      </c>
      <c r="F126" s="574">
        <v>-39.979</v>
      </c>
      <c r="G126" s="574">
        <v>-34.021</v>
      </c>
      <c r="H126" s="574">
        <v>-28.081999999999997</v>
      </c>
      <c r="I126" s="574">
        <v>-22.142999999999997</v>
      </c>
      <c r="J126" s="574">
        <v>-16.203</v>
      </c>
      <c r="K126" s="574">
        <v>-10.249</v>
      </c>
      <c r="L126" s="574">
        <v>-4.358</v>
      </c>
    </row>
    <row r="127" spans="5:12" ht="14.25">
      <c r="E127" s="77"/>
      <c r="F127" s="77"/>
      <c r="G127" s="77"/>
      <c r="H127" s="77"/>
      <c r="I127" s="77"/>
      <c r="J127" s="77"/>
      <c r="K127" s="77"/>
      <c r="L127" s="77"/>
    </row>
    <row r="128" spans="2:12" ht="14.25">
      <c r="B128" s="63" t="s">
        <v>654</v>
      </c>
      <c r="E128" s="574">
        <v>30.675</v>
      </c>
      <c r="F128" s="574">
        <v>30.675</v>
      </c>
      <c r="G128" s="574">
        <v>30.675</v>
      </c>
      <c r="H128" s="574">
        <v>30.675</v>
      </c>
      <c r="I128" s="574">
        <v>30.675</v>
      </c>
      <c r="J128" s="574">
        <v>30.675</v>
      </c>
      <c r="K128" s="574">
        <v>30.675</v>
      </c>
      <c r="L128" s="574">
        <v>30.675</v>
      </c>
    </row>
    <row r="129" spans="2:12" ht="14.25">
      <c r="B129" s="63" t="s">
        <v>96</v>
      </c>
      <c r="E129" s="574">
        <v>-90.053</v>
      </c>
      <c r="F129" s="574">
        <v>-177.838</v>
      </c>
      <c r="G129" s="574">
        <v>-255.052</v>
      </c>
      <c r="H129" s="574">
        <v>-336.784</v>
      </c>
      <c r="I129" s="574">
        <v>-426.85</v>
      </c>
      <c r="J129" s="574">
        <v>-524.521</v>
      </c>
      <c r="K129" s="574">
        <v>-628.353</v>
      </c>
      <c r="L129" s="574">
        <v>-741.112</v>
      </c>
    </row>
    <row r="130" spans="2:12" ht="14.25">
      <c r="B130" s="63" t="s">
        <v>645</v>
      </c>
      <c r="E130" s="574" t="s">
        <v>21</v>
      </c>
      <c r="F130" s="574" t="s">
        <v>21</v>
      </c>
      <c r="G130" s="574" t="s">
        <v>21</v>
      </c>
      <c r="H130" s="574" t="s">
        <v>21</v>
      </c>
      <c r="I130" s="574" t="s">
        <v>21</v>
      </c>
      <c r="J130" s="574" t="s">
        <v>21</v>
      </c>
      <c r="K130" s="574" t="s">
        <v>21</v>
      </c>
      <c r="L130" s="574" t="s">
        <v>21</v>
      </c>
    </row>
    <row r="131" spans="5:7" ht="14.25">
      <c r="E131" s="575"/>
      <c r="F131" s="575"/>
      <c r="G131" s="575"/>
    </row>
    <row r="132" spans="2:5" ht="14.25">
      <c r="B132" s="63" t="s">
        <v>655</v>
      </c>
      <c r="C132" s="124"/>
      <c r="D132" s="522"/>
      <c r="E132" s="116">
        <v>1</v>
      </c>
    </row>
    <row r="133" spans="2:5" ht="14.25">
      <c r="B133" s="63" t="s">
        <v>347</v>
      </c>
      <c r="E133" s="82"/>
    </row>
    <row r="134" spans="2:5" ht="14.25">
      <c r="B134" s="63" t="s">
        <v>349</v>
      </c>
      <c r="E134" s="82"/>
    </row>
    <row r="135" spans="2:7" ht="14.25">
      <c r="B135" s="63" t="s">
        <v>368</v>
      </c>
      <c r="F135" s="568">
        <v>0</v>
      </c>
      <c r="G135" s="568">
        <v>0</v>
      </c>
    </row>
    <row r="136" spans="2:7" ht="14.25">
      <c r="B136" s="63" t="s">
        <v>499</v>
      </c>
      <c r="F136" s="568">
        <v>0</v>
      </c>
      <c r="G136" s="568">
        <v>0</v>
      </c>
    </row>
    <row r="137" spans="6:7" ht="14.25">
      <c r="F137" s="575"/>
      <c r="G137" s="575"/>
    </row>
    <row r="138" spans="2:7" ht="14.25">
      <c r="B138" s="63" t="s">
        <v>745</v>
      </c>
      <c r="F138" s="575"/>
      <c r="G138" s="575"/>
    </row>
    <row r="139" spans="2:7" ht="14.25">
      <c r="B139" s="63" t="s">
        <v>746</v>
      </c>
      <c r="F139" s="575"/>
      <c r="G139" s="568">
        <v>0</v>
      </c>
    </row>
    <row r="140" spans="2:7" ht="14.25">
      <c r="B140" s="63" t="s">
        <v>747</v>
      </c>
      <c r="G140" s="576">
        <v>1</v>
      </c>
    </row>
    <row r="143" ht="14.25">
      <c r="B143" s="216" t="s">
        <v>166</v>
      </c>
    </row>
    <row r="145" ht="14.25">
      <c r="B145" s="63" t="s">
        <v>196</v>
      </c>
    </row>
    <row r="146" spans="2:6" ht="14.25">
      <c r="B146" s="63" t="s">
        <v>197</v>
      </c>
      <c r="E146" s="577">
        <v>15.014188887439131</v>
      </c>
      <c r="F146" s="577">
        <v>18.685952691624216</v>
      </c>
    </row>
    <row r="147" spans="2:6" ht="14.25">
      <c r="B147" s="63" t="s">
        <v>148</v>
      </c>
      <c r="E147" s="577">
        <v>56.036890299999996</v>
      </c>
      <c r="F147" s="577">
        <v>39.746829299999995</v>
      </c>
    </row>
    <row r="148" spans="2:6" ht="14.25">
      <c r="B148" s="63" t="s">
        <v>198</v>
      </c>
      <c r="E148" s="577">
        <v>41.02270141256086</v>
      </c>
      <c r="F148" s="577">
        <v>21.06087660837578</v>
      </c>
    </row>
    <row r="149" spans="5:6" ht="14.25">
      <c r="E149" s="70"/>
      <c r="F149" s="70"/>
    </row>
    <row r="150" spans="2:6" ht="14.25">
      <c r="B150" s="63" t="s">
        <v>199</v>
      </c>
      <c r="E150" s="70"/>
      <c r="F150" s="70"/>
    </row>
    <row r="151" spans="2:6" ht="14.25">
      <c r="B151" s="63" t="s">
        <v>197</v>
      </c>
      <c r="E151" s="577">
        <v>11.074276678253508</v>
      </c>
      <c r="F151" s="577">
        <v>9.368536763686148</v>
      </c>
    </row>
    <row r="152" spans="2:6" ht="14.25">
      <c r="B152" s="63" t="s">
        <v>148</v>
      </c>
      <c r="E152" s="577">
        <v>23.89</v>
      </c>
      <c r="F152" s="577">
        <v>23.5854210832985</v>
      </c>
    </row>
    <row r="153" spans="2:6" ht="14.25">
      <c r="B153" s="63" t="s">
        <v>303</v>
      </c>
      <c r="E153" s="578">
        <v>0</v>
      </c>
      <c r="F153" s="578">
        <v>0</v>
      </c>
    </row>
    <row r="154" spans="2:6" ht="14.25">
      <c r="B154" s="63" t="s">
        <v>304</v>
      </c>
      <c r="E154" s="577">
        <v>23.89</v>
      </c>
      <c r="F154" s="577">
        <v>23.5854210832985</v>
      </c>
    </row>
    <row r="155" spans="2:6" ht="14.25">
      <c r="B155" s="63" t="s">
        <v>198</v>
      </c>
      <c r="E155" s="577">
        <v>12.815723321746486</v>
      </c>
      <c r="F155" s="577">
        <v>14.216884319612351</v>
      </c>
    </row>
    <row r="156" spans="5:6" ht="14.25">
      <c r="E156" s="70"/>
      <c r="F156" s="70"/>
    </row>
    <row r="157" spans="2:6" ht="14.25">
      <c r="B157" s="63" t="s">
        <v>200</v>
      </c>
      <c r="E157" s="70"/>
      <c r="F157" s="70"/>
    </row>
    <row r="158" spans="2:6" ht="14.25">
      <c r="B158" s="63" t="s">
        <v>201</v>
      </c>
      <c r="E158" s="577">
        <v>20.551327226565885</v>
      </c>
      <c r="F158" s="577">
        <v>23.37022107346729</v>
      </c>
    </row>
    <row r="159" spans="2:6" ht="14.25">
      <c r="B159" s="63" t="s">
        <v>202</v>
      </c>
      <c r="E159" s="577">
        <v>74.38975196087324</v>
      </c>
      <c r="F159" s="577">
        <v>58.64798200145542</v>
      </c>
    </row>
    <row r="160" spans="2:6" ht="14.25">
      <c r="B160" s="63" t="s">
        <v>205</v>
      </c>
      <c r="E160" s="577">
        <v>53.83842473430735</v>
      </c>
      <c r="F160" s="577">
        <v>35.277760927988126</v>
      </c>
    </row>
    <row r="161" spans="5:6" ht="14.25">
      <c r="E161" s="70"/>
      <c r="F161" s="70"/>
    </row>
    <row r="162" spans="2:7" ht="14.25">
      <c r="B162" s="63" t="s">
        <v>541</v>
      </c>
      <c r="D162" s="89"/>
      <c r="E162" s="579">
        <v>14.125876623774511</v>
      </c>
      <c r="F162" s="579">
        <v>0.02978740552325554</v>
      </c>
      <c r="G162" s="63" t="s">
        <v>167</v>
      </c>
    </row>
    <row r="163" spans="2:7" ht="14.25">
      <c r="B163" s="63" t="s">
        <v>542</v>
      </c>
      <c r="D163" s="89"/>
      <c r="E163" s="579">
        <v>25.580848203317956</v>
      </c>
      <c r="F163" s="579">
        <v>25.294829431315655</v>
      </c>
      <c r="G163" s="63" t="s">
        <v>167</v>
      </c>
    </row>
    <row r="164" spans="2:7" ht="14.25">
      <c r="B164" s="63" t="s">
        <v>543</v>
      </c>
      <c r="D164" s="89"/>
      <c r="E164" s="579">
        <v>12.055068758339804</v>
      </c>
      <c r="F164" s="579">
        <v>8.989020856434687</v>
      </c>
      <c r="G164" s="63" t="s">
        <v>167</v>
      </c>
    </row>
    <row r="165" spans="2:7" ht="14.25">
      <c r="B165" s="63" t="s">
        <v>336</v>
      </c>
      <c r="D165" s="89"/>
      <c r="E165" s="579">
        <v>-0.005031</v>
      </c>
      <c r="F165" s="579">
        <v>0</v>
      </c>
      <c r="G165" s="63" t="s">
        <v>167</v>
      </c>
    </row>
    <row r="166" spans="5:6" ht="14.25">
      <c r="E166" s="70"/>
      <c r="F166" s="70"/>
    </row>
    <row r="167" ht="14.25">
      <c r="B167" s="63" t="s">
        <v>210</v>
      </c>
    </row>
    <row r="168" spans="2:7" ht="14.25">
      <c r="B168" s="63" t="s">
        <v>211</v>
      </c>
      <c r="G168" s="577">
        <v>41.13</v>
      </c>
    </row>
    <row r="169" spans="2:7" ht="14.25">
      <c r="B169" s="63" t="s">
        <v>212</v>
      </c>
      <c r="G169" s="577">
        <v>-1.5592098501328238</v>
      </c>
    </row>
    <row r="170" spans="2:7" ht="14.25">
      <c r="B170" s="63" t="s">
        <v>215</v>
      </c>
      <c r="G170" s="577">
        <v>39.57079014986718</v>
      </c>
    </row>
    <row r="171" spans="2:7" ht="14.25">
      <c r="B171" s="63" t="s">
        <v>217</v>
      </c>
      <c r="G171" s="577">
        <v>23.6</v>
      </c>
    </row>
    <row r="172" spans="2:7" ht="14.25">
      <c r="B172" s="63" t="s">
        <v>218</v>
      </c>
      <c r="G172" s="577">
        <v>-1.6769661303657912</v>
      </c>
    </row>
    <row r="173" spans="2:7" ht="14.25">
      <c r="B173" s="63" t="s">
        <v>224</v>
      </c>
      <c r="G173" s="577">
        <v>21.92303386963421</v>
      </c>
    </row>
    <row r="174" spans="2:7" ht="14.25">
      <c r="B174" s="63" t="s">
        <v>213</v>
      </c>
      <c r="G174" s="577">
        <v>32.3</v>
      </c>
    </row>
    <row r="175" spans="2:7" ht="14.25">
      <c r="B175" s="63" t="s">
        <v>214</v>
      </c>
      <c r="G175" s="577">
        <v>-0.2821408201206168</v>
      </c>
    </row>
    <row r="176" spans="2:7" ht="14.25">
      <c r="B176" s="63" t="s">
        <v>216</v>
      </c>
      <c r="G176" s="577">
        <v>32.01785917987939</v>
      </c>
    </row>
    <row r="179" spans="1:2" ht="14.25">
      <c r="A179" s="216"/>
      <c r="B179" s="216" t="s">
        <v>168</v>
      </c>
    </row>
    <row r="180" spans="2:4" ht="14.25">
      <c r="B180" s="259" t="s">
        <v>408</v>
      </c>
      <c r="D180" s="132"/>
    </row>
    <row r="181" spans="2:7" ht="14.25">
      <c r="B181" s="63" t="s">
        <v>434</v>
      </c>
      <c r="D181" s="63" t="s">
        <v>236</v>
      </c>
      <c r="G181" s="70">
        <v>1.1168663589970573</v>
      </c>
    </row>
    <row r="182" spans="2:7" ht="14.25">
      <c r="B182" s="63" t="s">
        <v>235</v>
      </c>
      <c r="D182" s="63" t="s">
        <v>237</v>
      </c>
      <c r="G182" s="70">
        <v>2.081685777194206</v>
      </c>
    </row>
    <row r="184" spans="2:7" ht="14.25">
      <c r="B184" s="77" t="s">
        <v>598</v>
      </c>
      <c r="D184" s="63" t="s">
        <v>238</v>
      </c>
      <c r="G184" s="569">
        <v>-11.86045240855998</v>
      </c>
    </row>
    <row r="185" spans="2:7" ht="14.25">
      <c r="B185" s="77" t="s">
        <v>669</v>
      </c>
      <c r="D185" s="63" t="s">
        <v>240</v>
      </c>
      <c r="G185" s="569">
        <v>-10.55582797321977</v>
      </c>
    </row>
    <row r="186" spans="2:7" ht="14.25">
      <c r="B186" s="63" t="s">
        <v>307</v>
      </c>
      <c r="D186" s="63" t="s">
        <v>239</v>
      </c>
      <c r="G186" s="557">
        <v>-94.51264372219961</v>
      </c>
    </row>
    <row r="187" ht="14.25">
      <c r="A187" s="216"/>
    </row>
    <row r="188" spans="2:7" ht="14.25">
      <c r="B188" s="77" t="s">
        <v>729</v>
      </c>
      <c r="D188" s="63" t="s">
        <v>730</v>
      </c>
      <c r="G188" s="70">
        <v>0</v>
      </c>
    </row>
    <row r="189" spans="2:7" ht="14.25">
      <c r="B189" s="77" t="s">
        <v>731</v>
      </c>
      <c r="D189" s="132" t="s">
        <v>452</v>
      </c>
      <c r="G189" s="70">
        <v>0</v>
      </c>
    </row>
    <row r="190" spans="2:7" ht="14.25">
      <c r="B190" s="77" t="s">
        <v>109</v>
      </c>
      <c r="D190" s="132" t="s">
        <v>452</v>
      </c>
      <c r="G190" s="401">
        <v>-0.6391851142678755</v>
      </c>
    </row>
    <row r="191" spans="2:7" ht="14.25">
      <c r="B191" s="63" t="s">
        <v>409</v>
      </c>
      <c r="G191" s="70">
        <v>10.753677251233984</v>
      </c>
    </row>
    <row r="193" ht="14.25">
      <c r="B193" s="259" t="s">
        <v>412</v>
      </c>
    </row>
    <row r="194" spans="2:6" ht="14.25">
      <c r="B194" s="98" t="s">
        <v>696</v>
      </c>
      <c r="E194" s="563">
        <v>1.4209217817814224</v>
      </c>
      <c r="F194" s="563">
        <v>1.3777062114634042</v>
      </c>
    </row>
    <row r="195" ht="14.25">
      <c r="B195" s="69"/>
    </row>
    <row r="196" spans="2:4" ht="14.25">
      <c r="B196" s="63" t="s">
        <v>410</v>
      </c>
      <c r="D196" s="563">
        <v>1038.010424933289</v>
      </c>
    </row>
    <row r="197" spans="2:4" ht="14.25">
      <c r="B197" s="63" t="s">
        <v>411</v>
      </c>
      <c r="D197" s="563">
        <v>8.961156189675615</v>
      </c>
    </row>
    <row r="199" spans="2:11" ht="14.25">
      <c r="B199" s="63" t="s">
        <v>241</v>
      </c>
      <c r="D199" s="63" t="s">
        <v>242</v>
      </c>
      <c r="E199" s="563">
        <v>1078.6930247583834</v>
      </c>
      <c r="G199" s="172"/>
      <c r="H199" s="70"/>
      <c r="I199" s="70"/>
      <c r="J199" s="70"/>
      <c r="K199" s="70"/>
    </row>
    <row r="200" spans="2:11" ht="14.25">
      <c r="B200" s="63" t="s">
        <v>243</v>
      </c>
      <c r="D200" s="63" t="s">
        <v>248</v>
      </c>
      <c r="E200" s="563">
        <v>1094.6490433564213</v>
      </c>
      <c r="G200" s="172"/>
      <c r="H200" s="70"/>
      <c r="I200" s="70"/>
      <c r="J200" s="70"/>
      <c r="K200" s="70"/>
    </row>
    <row r="201" spans="2:11" ht="14.25">
      <c r="B201" s="63" t="s">
        <v>249</v>
      </c>
      <c r="D201" s="63" t="s">
        <v>250</v>
      </c>
      <c r="E201" s="563">
        <v>1038.010424933289</v>
      </c>
      <c r="G201" s="172"/>
      <c r="H201" s="70"/>
      <c r="I201" s="70"/>
      <c r="J201" s="70"/>
      <c r="K201" s="70"/>
    </row>
    <row r="202" spans="2:11" ht="14.25">
      <c r="B202" s="63" t="s">
        <v>251</v>
      </c>
      <c r="D202" s="63" t="s">
        <v>252</v>
      </c>
      <c r="E202" s="563">
        <v>-107.31310784084752</v>
      </c>
      <c r="G202" s="172"/>
      <c r="H202" s="70"/>
      <c r="I202" s="70"/>
      <c r="J202" s="70"/>
      <c r="K202" s="70"/>
    </row>
    <row r="203" spans="2:11" ht="14.25">
      <c r="B203" s="63" t="s">
        <v>253</v>
      </c>
      <c r="D203" s="63" t="s">
        <v>254</v>
      </c>
      <c r="E203" s="563">
        <v>152.05981406091968</v>
      </c>
      <c r="G203" s="172"/>
      <c r="H203" s="70"/>
      <c r="I203" s="70"/>
      <c r="J203" s="70"/>
      <c r="K203" s="70"/>
    </row>
    <row r="204" spans="2:11" ht="14.25">
      <c r="B204" s="63" t="s">
        <v>255</v>
      </c>
      <c r="D204" s="63" t="s">
        <v>256</v>
      </c>
      <c r="E204" s="563">
        <v>-4.064106394977474</v>
      </c>
      <c r="G204" s="172"/>
      <c r="H204" s="70"/>
      <c r="I204" s="70"/>
      <c r="J204" s="70"/>
      <c r="K204" s="70"/>
    </row>
    <row r="205" spans="2:11" ht="14.25">
      <c r="B205" s="63" t="s">
        <v>257</v>
      </c>
      <c r="D205" s="63" t="s">
        <v>260</v>
      </c>
      <c r="E205" s="563">
        <v>1190.0702389942085</v>
      </c>
      <c r="G205" s="172"/>
      <c r="H205" s="70"/>
      <c r="I205" s="70"/>
      <c r="J205" s="70"/>
      <c r="K205" s="70"/>
    </row>
    <row r="206" spans="2:11" ht="14.25">
      <c r="B206" s="63" t="s">
        <v>261</v>
      </c>
      <c r="D206" s="63" t="s">
        <v>262</v>
      </c>
      <c r="E206" s="563">
        <v>-149.2265922183803</v>
      </c>
      <c r="G206" s="172"/>
      <c r="H206" s="70"/>
      <c r="I206" s="70"/>
      <c r="J206" s="70"/>
      <c r="K206" s="70"/>
    </row>
    <row r="207" spans="2:11" ht="14.25">
      <c r="B207" s="63" t="s">
        <v>263</v>
      </c>
      <c r="D207" s="63" t="s">
        <v>264</v>
      </c>
      <c r="E207" s="563">
        <v>35.88009454281444</v>
      </c>
      <c r="G207" s="172"/>
      <c r="H207" s="70"/>
      <c r="I207" s="70"/>
      <c r="J207" s="70"/>
      <c r="K207" s="70"/>
    </row>
    <row r="208" spans="2:11" ht="14.25">
      <c r="B208" s="63" t="s">
        <v>265</v>
      </c>
      <c r="D208" s="63" t="s">
        <v>266</v>
      </c>
      <c r="E208" s="563">
        <v>50.68769294245398</v>
      </c>
      <c r="G208" s="172"/>
      <c r="H208" s="70"/>
      <c r="I208" s="70"/>
      <c r="J208" s="70"/>
      <c r="K208" s="70"/>
    </row>
    <row r="209" spans="2:11" ht="14.25">
      <c r="B209" s="63" t="s">
        <v>267</v>
      </c>
      <c r="D209" s="63" t="s">
        <v>268</v>
      </c>
      <c r="G209" s="563">
        <v>-17.424428283689153</v>
      </c>
      <c r="H209" s="563">
        <v>-21.88538328589717</v>
      </c>
      <c r="I209" s="563">
        <v>-11.377881372867659</v>
      </c>
      <c r="J209" s="563">
        <v>-26.067753840595802</v>
      </c>
      <c r="K209" s="563">
        <v>-24.359719102207237</v>
      </c>
    </row>
    <row r="210" spans="2:11" ht="14.25">
      <c r="B210" s="63" t="s">
        <v>269</v>
      </c>
      <c r="D210" s="63" t="s">
        <v>270</v>
      </c>
      <c r="E210" s="563">
        <v>-1.2607608856283439</v>
      </c>
      <c r="G210" s="172"/>
      <c r="H210" s="70"/>
      <c r="I210" s="70"/>
      <c r="J210" s="70"/>
      <c r="K210" s="70"/>
    </row>
    <row r="211" spans="2:11" ht="14.25">
      <c r="B211" s="63" t="s">
        <v>271</v>
      </c>
      <c r="D211" s="63" t="s">
        <v>272</v>
      </c>
      <c r="E211" s="563">
        <v>16.985155905269362</v>
      </c>
      <c r="G211" s="172"/>
      <c r="H211" s="70"/>
      <c r="I211" s="70"/>
      <c r="J211" s="70"/>
      <c r="K211" s="70"/>
    </row>
    <row r="212" spans="2:11" ht="14.25">
      <c r="B212" s="63" t="s">
        <v>273</v>
      </c>
      <c r="D212" s="63" t="s">
        <v>274</v>
      </c>
      <c r="E212" s="563">
        <v>-1.0291373072315513</v>
      </c>
      <c r="G212" s="172"/>
      <c r="H212" s="70"/>
      <c r="I212" s="70"/>
      <c r="J212" s="70"/>
      <c r="K212" s="70"/>
    </row>
    <row r="213" spans="2:11" ht="14.25">
      <c r="B213" s="63" t="s">
        <v>275</v>
      </c>
      <c r="D213" s="63" t="s">
        <v>282</v>
      </c>
      <c r="E213" s="563">
        <v>-0.4758933592100245</v>
      </c>
      <c r="G213" s="172"/>
      <c r="H213" s="70"/>
      <c r="I213" s="70"/>
      <c r="J213" s="70"/>
      <c r="K213" s="70"/>
    </row>
    <row r="214" spans="2:11" ht="14.25">
      <c r="B214" s="63" t="s">
        <v>576</v>
      </c>
      <c r="D214" s="63" t="s">
        <v>283</v>
      </c>
      <c r="G214" s="563">
        <v>5.769564498636</v>
      </c>
      <c r="H214" s="70"/>
      <c r="I214" s="70"/>
      <c r="J214" s="70"/>
      <c r="K214" s="70"/>
    </row>
    <row r="216" spans="2:4" ht="14.25">
      <c r="B216" s="259" t="s">
        <v>413</v>
      </c>
      <c r="C216" s="77"/>
      <c r="D216" s="77"/>
    </row>
    <row r="217" spans="2:11" ht="14.25">
      <c r="B217" s="63" t="s">
        <v>241</v>
      </c>
      <c r="D217" s="77" t="s">
        <v>284</v>
      </c>
      <c r="E217" s="563">
        <v>1064.113827437585</v>
      </c>
      <c r="G217" s="172"/>
      <c r="H217" s="70"/>
      <c r="I217" s="70"/>
      <c r="J217" s="70"/>
      <c r="K217" s="70"/>
    </row>
    <row r="218" spans="2:11" ht="14.25">
      <c r="B218" s="63" t="s">
        <v>243</v>
      </c>
      <c r="D218" s="77" t="s">
        <v>285</v>
      </c>
      <c r="E218" s="563">
        <v>1079.8541906654148</v>
      </c>
      <c r="G218" s="172"/>
      <c r="H218" s="70"/>
      <c r="I218" s="70"/>
      <c r="J218" s="70"/>
      <c r="K218" s="70"/>
    </row>
    <row r="219" spans="2:11" ht="14.25">
      <c r="B219" s="63" t="s">
        <v>286</v>
      </c>
      <c r="D219" s="77" t="s">
        <v>287</v>
      </c>
      <c r="E219" s="563">
        <v>1128.6130874435476</v>
      </c>
      <c r="G219" s="172"/>
      <c r="H219" s="70"/>
      <c r="I219" s="70"/>
      <c r="J219" s="70"/>
      <c r="K219" s="70"/>
    </row>
    <row r="220" spans="2:11" ht="14.25">
      <c r="B220" s="63" t="s">
        <v>249</v>
      </c>
      <c r="D220" s="77" t="s">
        <v>288</v>
      </c>
      <c r="E220" s="563">
        <v>1023.9810778819922</v>
      </c>
      <c r="G220" s="172"/>
      <c r="H220" s="70"/>
      <c r="I220" s="70"/>
      <c r="J220" s="70"/>
      <c r="K220" s="70"/>
    </row>
    <row r="221" spans="2:11" ht="14.25">
      <c r="B221" s="63" t="s">
        <v>251</v>
      </c>
      <c r="D221" s="77" t="s">
        <v>289</v>
      </c>
      <c r="E221" s="563">
        <v>-105.8627054201308</v>
      </c>
      <c r="G221" s="172"/>
      <c r="H221" s="70"/>
      <c r="I221" s="70"/>
      <c r="J221" s="70"/>
      <c r="K221" s="70"/>
    </row>
    <row r="222" spans="2:11" ht="14.25">
      <c r="B222" s="63" t="s">
        <v>253</v>
      </c>
      <c r="D222" s="77" t="s">
        <v>290</v>
      </c>
      <c r="E222" s="563">
        <v>150.00463248203198</v>
      </c>
      <c r="G222" s="172"/>
      <c r="H222" s="70"/>
      <c r="I222" s="70"/>
      <c r="J222" s="70"/>
      <c r="K222" s="70"/>
    </row>
    <row r="223" spans="2:11" ht="14.25">
      <c r="B223" s="63" t="s">
        <v>255</v>
      </c>
      <c r="D223" s="77" t="s">
        <v>291</v>
      </c>
      <c r="E223" s="563">
        <v>-4.009177506308367</v>
      </c>
      <c r="G223" s="172"/>
      <c r="H223" s="70"/>
      <c r="I223" s="70"/>
      <c r="J223" s="70"/>
      <c r="K223" s="70"/>
    </row>
    <row r="224" spans="2:11" ht="14.25">
      <c r="B224" s="63" t="s">
        <v>265</v>
      </c>
      <c r="D224" s="77" t="s">
        <v>292</v>
      </c>
      <c r="E224" s="563">
        <v>50.002617707718315</v>
      </c>
      <c r="G224" s="172"/>
      <c r="H224" s="70"/>
      <c r="I224" s="70"/>
      <c r="J224" s="70"/>
      <c r="K224" s="70"/>
    </row>
    <row r="225" spans="2:11" ht="14.25">
      <c r="B225" s="121" t="s">
        <v>293</v>
      </c>
      <c r="D225" s="77" t="s">
        <v>294</v>
      </c>
      <c r="G225" s="563">
        <v>-18.48570914650939</v>
      </c>
      <c r="H225" s="563">
        <v>-23.79882966494381</v>
      </c>
      <c r="I225" s="563">
        <v>-12.681969679653104</v>
      </c>
      <c r="J225" s="563">
        <v>-29.78192638101567</v>
      </c>
      <c r="K225" s="563">
        <v>-28.52629150695037</v>
      </c>
    </row>
    <row r="226" spans="2:11" ht="14.25">
      <c r="B226" s="63" t="s">
        <v>269</v>
      </c>
      <c r="D226" s="77" t="s">
        <v>295</v>
      </c>
      <c r="E226" s="563">
        <v>-1.243720929585208</v>
      </c>
      <c r="G226" s="172"/>
      <c r="H226" s="70"/>
      <c r="I226" s="70"/>
      <c r="J226" s="70"/>
      <c r="K226" s="70"/>
    </row>
    <row r="227" spans="2:11" ht="14.25">
      <c r="B227" s="77" t="s">
        <v>271</v>
      </c>
      <c r="D227" s="77" t="s">
        <v>296</v>
      </c>
      <c r="E227" s="563">
        <v>16.75559111363375</v>
      </c>
      <c r="G227" s="172"/>
      <c r="H227" s="172"/>
      <c r="I227" s="172"/>
      <c r="J227" s="172"/>
      <c r="K227" s="172"/>
    </row>
    <row r="228" spans="2:11" ht="14.25">
      <c r="B228" s="77" t="s">
        <v>273</v>
      </c>
      <c r="D228" s="77" t="s">
        <v>296</v>
      </c>
      <c r="E228" s="563">
        <v>-1.0152278858040005</v>
      </c>
      <c r="G228" s="172"/>
      <c r="H228" s="70"/>
      <c r="I228" s="70"/>
      <c r="J228" s="70"/>
      <c r="K228" s="70"/>
    </row>
    <row r="229" spans="2:11" ht="14.25">
      <c r="B229" s="77" t="s">
        <v>275</v>
      </c>
      <c r="D229" s="77" t="s">
        <v>296</v>
      </c>
      <c r="E229" s="563">
        <v>-0.4805510074359421</v>
      </c>
      <c r="G229" s="172"/>
      <c r="H229" s="70"/>
      <c r="I229" s="70"/>
      <c r="J229" s="70"/>
      <c r="K229" s="70"/>
    </row>
    <row r="231" ht="14.25">
      <c r="B231" s="216" t="s">
        <v>169</v>
      </c>
    </row>
    <row r="232" spans="2:7" ht="14.25">
      <c r="B232" s="77" t="s">
        <v>107</v>
      </c>
      <c r="G232" s="70">
        <v>-6.764022471406214</v>
      </c>
    </row>
    <row r="233" spans="2:7" ht="14.25">
      <c r="B233" s="63" t="s">
        <v>26</v>
      </c>
      <c r="G233" s="70">
        <v>0</v>
      </c>
    </row>
    <row r="234" spans="2:7" ht="14.25">
      <c r="B234" s="63" t="s">
        <v>140</v>
      </c>
      <c r="G234" s="70">
        <v>37.30887818171393</v>
      </c>
    </row>
    <row r="235" spans="2:7" ht="14.25">
      <c r="B235" s="69"/>
      <c r="G235" s="70"/>
    </row>
    <row r="236" spans="2:7" ht="14.25">
      <c r="B236" s="63" t="s">
        <v>245</v>
      </c>
      <c r="G236" s="70">
        <v>5.769564498636</v>
      </c>
    </row>
    <row r="237" spans="2:7" ht="14.25">
      <c r="B237" s="63" t="s">
        <v>246</v>
      </c>
      <c r="G237" s="70">
        <v>5.85132228499401</v>
      </c>
    </row>
    <row r="238" ht="14.25">
      <c r="G238" s="70"/>
    </row>
    <row r="239" ht="14.25">
      <c r="G239" s="70"/>
    </row>
    <row r="240" spans="1:2" ht="14.25">
      <c r="A240" s="216"/>
      <c r="B240" s="216" t="s">
        <v>173</v>
      </c>
    </row>
    <row r="241" spans="2:13" ht="38.25">
      <c r="B241" s="34"/>
      <c r="C241" s="77"/>
      <c r="D241" s="77"/>
      <c r="E241" s="263" t="s">
        <v>382</v>
      </c>
      <c r="F241" s="35" t="s">
        <v>685</v>
      </c>
      <c r="G241" s="35" t="s">
        <v>686</v>
      </c>
      <c r="H241" s="35" t="s">
        <v>687</v>
      </c>
      <c r="I241" s="35" t="s">
        <v>689</v>
      </c>
      <c r="J241" s="35" t="s">
        <v>690</v>
      </c>
      <c r="K241" s="35" t="s">
        <v>691</v>
      </c>
      <c r="L241" s="36" t="s">
        <v>692</v>
      </c>
      <c r="M241" s="34" t="s">
        <v>698</v>
      </c>
    </row>
    <row r="242" spans="2:13" ht="14.25">
      <c r="B242" s="498" t="s">
        <v>172</v>
      </c>
      <c r="C242" s="77"/>
      <c r="D242" s="77"/>
      <c r="E242" s="51"/>
      <c r="F242" s="37"/>
      <c r="G242" s="37"/>
      <c r="H242" s="38"/>
      <c r="I242" s="39"/>
      <c r="J242" s="38"/>
      <c r="K242" s="38"/>
      <c r="L242" s="38"/>
      <c r="M242" s="40"/>
    </row>
    <row r="243" spans="2:13" ht="14.25">
      <c r="B243" s="41" t="s">
        <v>377</v>
      </c>
      <c r="C243" s="77"/>
      <c r="D243" s="77"/>
      <c r="E243" s="42"/>
      <c r="F243" s="42"/>
      <c r="G243" s="52">
        <v>8.95</v>
      </c>
      <c r="H243" s="52">
        <v>17.917235865806738</v>
      </c>
      <c r="I243" s="52">
        <v>21.16021024028704</v>
      </c>
      <c r="J243" s="52">
        <v>13.553612035528943</v>
      </c>
      <c r="K243" s="52">
        <v>12.156307198623608</v>
      </c>
      <c r="L243" s="52">
        <v>8.536738043890363</v>
      </c>
      <c r="M243" s="52">
        <v>73.32410338413669</v>
      </c>
    </row>
    <row r="244" spans="2:13" ht="14.25">
      <c r="B244" s="43" t="s">
        <v>170</v>
      </c>
      <c r="C244" s="77"/>
      <c r="D244" s="77"/>
      <c r="E244" s="42"/>
      <c r="F244" s="42"/>
      <c r="G244" s="52">
        <v>30.62079014986718</v>
      </c>
      <c r="H244" s="52">
        <v>36.77797812458406</v>
      </c>
      <c r="I244" s="52">
        <v>33.12957105786713</v>
      </c>
      <c r="J244" s="52">
        <v>30.644628199938175</v>
      </c>
      <c r="K244" s="52">
        <v>32.623619706623046</v>
      </c>
      <c r="L244" s="52">
        <v>33.45121844871181</v>
      </c>
      <c r="M244" s="52">
        <v>166.62701553772422</v>
      </c>
    </row>
    <row r="245" spans="2:15" ht="14.25">
      <c r="B245" s="45" t="s">
        <v>699</v>
      </c>
      <c r="C245" s="77"/>
      <c r="D245" s="77"/>
      <c r="E245" s="53">
        <v>0</v>
      </c>
      <c r="F245" s="53">
        <v>0</v>
      </c>
      <c r="G245" s="53">
        <v>39.57079014986718</v>
      </c>
      <c r="H245" s="53">
        <v>54.6952139903908</v>
      </c>
      <c r="I245" s="53">
        <v>54.28978129815417</v>
      </c>
      <c r="J245" s="53">
        <v>44.19824023546712</v>
      </c>
      <c r="K245" s="53">
        <v>44.779926905246654</v>
      </c>
      <c r="L245" s="53">
        <v>41.98795649260217</v>
      </c>
      <c r="M245" s="53">
        <v>239.95111892186094</v>
      </c>
      <c r="O245" s="70"/>
    </row>
    <row r="246" spans="2:13" ht="14.25">
      <c r="B246" s="46"/>
      <c r="C246" s="77"/>
      <c r="D246" s="77"/>
      <c r="E246" s="47"/>
      <c r="F246" s="47"/>
      <c r="G246" s="52"/>
      <c r="H246" s="52"/>
      <c r="I246" s="52"/>
      <c r="J246" s="52"/>
      <c r="K246" s="52"/>
      <c r="L246" s="52"/>
      <c r="M246" s="52"/>
    </row>
    <row r="247" spans="2:13" ht="14.25">
      <c r="B247" s="50" t="s">
        <v>174</v>
      </c>
      <c r="C247" s="77"/>
      <c r="D247" s="77"/>
      <c r="E247" s="51"/>
      <c r="F247" s="48"/>
      <c r="G247" s="52"/>
      <c r="H247" s="52"/>
      <c r="I247" s="52"/>
      <c r="J247" s="52"/>
      <c r="K247" s="52"/>
      <c r="L247" s="52"/>
      <c r="M247" s="52"/>
    </row>
    <row r="248" spans="2:13" ht="14.25">
      <c r="B248" s="496" t="s">
        <v>171</v>
      </c>
      <c r="C248" s="77"/>
      <c r="D248" s="77"/>
      <c r="E248" s="52"/>
      <c r="F248" s="52"/>
      <c r="G248" s="52">
        <v>53.94089304951359</v>
      </c>
      <c r="H248" s="52">
        <v>59.02066922282985</v>
      </c>
      <c r="I248" s="52">
        <v>59.609635048844765</v>
      </c>
      <c r="J248" s="52">
        <v>60.91339240409806</v>
      </c>
      <c r="K248" s="52">
        <v>61.77537850677135</v>
      </c>
      <c r="L248" s="52">
        <v>61.80479452911195</v>
      </c>
      <c r="M248" s="52">
        <v>303.12386971165597</v>
      </c>
    </row>
    <row r="249" spans="2:13" ht="14.25">
      <c r="B249" s="497" t="s">
        <v>176</v>
      </c>
      <c r="C249" s="77"/>
      <c r="D249" s="77"/>
      <c r="E249" s="52"/>
      <c r="F249" s="52"/>
      <c r="G249" s="52">
        <v>0</v>
      </c>
      <c r="H249" s="52">
        <v>3.570581372841644</v>
      </c>
      <c r="I249" s="52">
        <v>12.999700869045459</v>
      </c>
      <c r="J249" s="52">
        <v>7.683873571129068</v>
      </c>
      <c r="K249" s="52">
        <v>6.921118441431393</v>
      </c>
      <c r="L249" s="52">
        <v>5.408323092228058</v>
      </c>
      <c r="M249" s="52">
        <v>36.58359734667562</v>
      </c>
    </row>
    <row r="250" spans="2:13" ht="14.25">
      <c r="B250" s="497" t="s">
        <v>177</v>
      </c>
      <c r="C250" s="77"/>
      <c r="D250" s="77"/>
      <c r="E250" s="52"/>
      <c r="F250" s="52"/>
      <c r="G250" s="52">
        <v>0</v>
      </c>
      <c r="H250" s="52">
        <v>0.656625</v>
      </c>
      <c r="I250" s="52">
        <v>0.68425</v>
      </c>
      <c r="J250" s="52">
        <v>0.7125833333333333</v>
      </c>
      <c r="K250" s="52">
        <v>0.7423333333333333</v>
      </c>
      <c r="L250" s="52">
        <v>0.7735000000000001</v>
      </c>
      <c r="M250" s="52">
        <v>3.5692916666666665</v>
      </c>
    </row>
    <row r="251" spans="2:15" ht="14.25">
      <c r="B251" s="49" t="s">
        <v>530</v>
      </c>
      <c r="C251" s="77"/>
      <c r="D251" s="77"/>
      <c r="E251" s="54">
        <v>0</v>
      </c>
      <c r="F251" s="54">
        <v>0</v>
      </c>
      <c r="G251" s="53">
        <v>53.94089304951359</v>
      </c>
      <c r="H251" s="53">
        <v>63.247875595671495</v>
      </c>
      <c r="I251" s="53">
        <v>73.29358591789023</v>
      </c>
      <c r="J251" s="53">
        <v>69.30984930856046</v>
      </c>
      <c r="K251" s="53">
        <v>69.43883028153607</v>
      </c>
      <c r="L251" s="53">
        <v>67.98661762134</v>
      </c>
      <c r="M251" s="53">
        <v>343.2767587249983</v>
      </c>
      <c r="O251" s="70"/>
    </row>
  </sheetData>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27">
    <pageSetUpPr fitToPage="1"/>
  </sheetPr>
  <dimension ref="A1:S40"/>
  <sheetViews>
    <sheetView zoomScale="75" zoomScaleNormal="75" workbookViewId="0" topLeftCell="A1">
      <selection activeCell="A1" sqref="A1"/>
    </sheetView>
  </sheetViews>
  <sheetFormatPr defaultColWidth="9.00390625" defaultRowHeight="15"/>
  <cols>
    <col min="1" max="1" width="9.00390625" style="240" customWidth="1"/>
    <col min="2" max="2" width="45.00390625" style="240" customWidth="1"/>
    <col min="3" max="4" width="9.00390625" style="240" customWidth="1"/>
    <col min="5" max="5" width="10.00390625" style="240" customWidth="1"/>
    <col min="6" max="12" width="9.00390625" style="240" customWidth="1"/>
    <col min="13" max="13" width="10.625" style="240" bestFit="1" customWidth="1"/>
    <col min="14" max="14" width="9.00390625" style="240" customWidth="1"/>
    <col min="15" max="15" width="11.625" style="240" bestFit="1" customWidth="1"/>
    <col min="16" max="16384" width="9.00390625" style="240" customWidth="1"/>
  </cols>
  <sheetData>
    <row r="1" spans="1:18" ht="12.75">
      <c r="A1" s="239"/>
      <c r="B1" s="239"/>
      <c r="C1" s="239"/>
      <c r="D1" s="239"/>
      <c r="E1" s="239"/>
      <c r="F1" s="239"/>
      <c r="G1" s="239"/>
      <c r="H1" s="239"/>
      <c r="I1" s="239"/>
      <c r="M1" s="599"/>
      <c r="N1" s="599"/>
      <c r="O1" s="599"/>
      <c r="P1" s="599"/>
      <c r="Q1" s="599"/>
      <c r="R1" s="599"/>
    </row>
    <row r="2" spans="1:18" ht="12.75">
      <c r="A2" s="239"/>
      <c r="B2" s="240" t="s">
        <v>335</v>
      </c>
      <c r="M2" s="599"/>
      <c r="N2" s="599"/>
      <c r="O2" s="599"/>
      <c r="P2" s="599"/>
      <c r="Q2" s="599"/>
      <c r="R2" s="599"/>
    </row>
    <row r="3" spans="1:18" ht="12.75">
      <c r="A3" s="239"/>
      <c r="B3" s="241"/>
      <c r="C3" s="241"/>
      <c r="D3" s="618" t="s">
        <v>590</v>
      </c>
      <c r="E3" s="619"/>
      <c r="F3" s="619"/>
      <c r="G3" s="619"/>
      <c r="H3" s="619"/>
      <c r="I3" s="619"/>
      <c r="J3" s="620"/>
      <c r="M3" s="599"/>
      <c r="N3" s="599"/>
      <c r="O3" s="599"/>
      <c r="P3" s="599"/>
      <c r="Q3" s="599"/>
      <c r="R3" s="599"/>
    </row>
    <row r="4" spans="1:19" ht="12.75">
      <c r="A4" s="239"/>
      <c r="B4" s="241"/>
      <c r="C4" s="242"/>
      <c r="D4" s="243">
        <v>2000</v>
      </c>
      <c r="E4" s="243">
        <v>2001</v>
      </c>
      <c r="F4" s="243" t="s">
        <v>591</v>
      </c>
      <c r="G4" s="243" t="s">
        <v>73</v>
      </c>
      <c r="H4" s="243" t="s">
        <v>74</v>
      </c>
      <c r="I4" s="243" t="s">
        <v>75</v>
      </c>
      <c r="J4" s="243" t="s">
        <v>76</v>
      </c>
      <c r="L4" s="235"/>
      <c r="M4" s="600"/>
      <c r="N4" s="600"/>
      <c r="O4" s="600"/>
      <c r="P4" s="600"/>
      <c r="Q4" s="600"/>
      <c r="R4" s="600"/>
      <c r="S4" s="236"/>
    </row>
    <row r="5" spans="1:19" ht="12.75">
      <c r="A5" s="239"/>
      <c r="B5" s="241"/>
      <c r="C5" s="244" t="s">
        <v>508</v>
      </c>
      <c r="D5" s="245">
        <v>170.25</v>
      </c>
      <c r="E5" s="245">
        <v>173.35</v>
      </c>
      <c r="F5" s="245">
        <v>173.86666666666667</v>
      </c>
      <c r="G5" s="245">
        <v>177.51666666666668</v>
      </c>
      <c r="H5" s="245">
        <v>182.475</v>
      </c>
      <c r="I5" s="245">
        <v>188.15</v>
      </c>
      <c r="J5" s="245">
        <v>193.11</v>
      </c>
      <c r="L5" s="235"/>
      <c r="M5" s="601"/>
      <c r="N5" s="601"/>
      <c r="O5" s="601"/>
      <c r="P5" s="601"/>
      <c r="Q5" s="601"/>
      <c r="R5" s="601"/>
      <c r="S5" s="237"/>
    </row>
    <row r="6" spans="1:18" ht="12.75">
      <c r="A6" s="239"/>
      <c r="B6" s="621" t="s">
        <v>592</v>
      </c>
      <c r="C6" s="246">
        <v>2000</v>
      </c>
      <c r="D6" s="247">
        <f aca="true" t="shared" si="0" ref="D6:J6">$D5/D5</f>
        <v>1</v>
      </c>
      <c r="E6" s="247">
        <f t="shared" si="0"/>
        <v>0.9821171041246034</v>
      </c>
      <c r="F6" s="247">
        <f t="shared" si="0"/>
        <v>0.9791986196319018</v>
      </c>
      <c r="G6" s="247">
        <f t="shared" si="0"/>
        <v>0.9590648765374142</v>
      </c>
      <c r="H6" s="247">
        <f t="shared" si="0"/>
        <v>0.9330045211672833</v>
      </c>
      <c r="I6" s="247">
        <f t="shared" si="0"/>
        <v>0.9048631411108158</v>
      </c>
      <c r="J6" s="247">
        <f t="shared" si="0"/>
        <v>0.8816218735435761</v>
      </c>
      <c r="M6" s="599"/>
      <c r="N6" s="599"/>
      <c r="O6" s="599"/>
      <c r="P6" s="599"/>
      <c r="Q6" s="599"/>
      <c r="R6" s="599"/>
    </row>
    <row r="7" spans="1:19" ht="12.75">
      <c r="A7" s="239"/>
      <c r="B7" s="622"/>
      <c r="C7" s="246">
        <v>2001</v>
      </c>
      <c r="D7" s="247">
        <f>$E5/D5</f>
        <v>1.018208516886931</v>
      </c>
      <c r="E7" s="247">
        <f aca="true" t="shared" si="1" ref="E7:J7">$E5/E5</f>
        <v>1</v>
      </c>
      <c r="F7" s="247">
        <f t="shared" si="1"/>
        <v>0.9970283742331287</v>
      </c>
      <c r="G7" s="247">
        <f t="shared" si="1"/>
        <v>0.9765280255375081</v>
      </c>
      <c r="H7" s="247">
        <f t="shared" si="1"/>
        <v>0.9499931497465406</v>
      </c>
      <c r="I7" s="247">
        <f t="shared" si="1"/>
        <v>0.9213393568960935</v>
      </c>
      <c r="J7" s="247">
        <f t="shared" si="1"/>
        <v>0.897674900315882</v>
      </c>
      <c r="M7" s="602"/>
      <c r="N7" s="602"/>
      <c r="O7" s="602"/>
      <c r="P7" s="602"/>
      <c r="Q7" s="602"/>
      <c r="R7" s="602"/>
      <c r="S7" s="248"/>
    </row>
    <row r="8" spans="1:18" ht="12.75">
      <c r="A8" s="239"/>
      <c r="B8" s="622"/>
      <c r="C8" s="246" t="s">
        <v>591</v>
      </c>
      <c r="D8" s="247">
        <f>$F5/D5</f>
        <v>1.0212432697014195</v>
      </c>
      <c r="E8" s="247">
        <f aca="true" t="shared" si="2" ref="E8:J8">$F5/E5</f>
        <v>1.0029804826458995</v>
      </c>
      <c r="F8" s="247">
        <f t="shared" si="2"/>
        <v>1</v>
      </c>
      <c r="G8" s="247">
        <f t="shared" si="2"/>
        <v>0.9794385503708571</v>
      </c>
      <c r="H8" s="247">
        <f t="shared" si="2"/>
        <v>0.9528245878430835</v>
      </c>
      <c r="I8" s="247">
        <f t="shared" si="2"/>
        <v>0.9240853928603066</v>
      </c>
      <c r="J8" s="247">
        <f t="shared" si="2"/>
        <v>0.9003504047779332</v>
      </c>
      <c r="M8" s="599"/>
      <c r="N8" s="599"/>
      <c r="O8" s="599"/>
      <c r="P8" s="599"/>
      <c r="Q8" s="599"/>
      <c r="R8" s="599"/>
    </row>
    <row r="9" spans="1:18" ht="12.75">
      <c r="A9" s="239"/>
      <c r="B9" s="622"/>
      <c r="C9" s="246" t="s">
        <v>73</v>
      </c>
      <c r="D9" s="247">
        <f>$G5/D5</f>
        <v>1.0426823299069996</v>
      </c>
      <c r="E9" s="247">
        <f aca="true" t="shared" si="3" ref="E9:J9">$G5/E5</f>
        <v>1.0240361503701567</v>
      </c>
      <c r="F9" s="247">
        <f t="shared" si="3"/>
        <v>1.0209930981595092</v>
      </c>
      <c r="G9" s="247">
        <f t="shared" si="3"/>
        <v>1</v>
      </c>
      <c r="H9" s="247">
        <f t="shared" si="3"/>
        <v>0.9728273279444674</v>
      </c>
      <c r="I9" s="247">
        <f t="shared" si="3"/>
        <v>0.9434848082203916</v>
      </c>
      <c r="J9" s="247">
        <f t="shared" si="3"/>
        <v>0.9192515492033901</v>
      </c>
      <c r="M9" s="599"/>
      <c r="N9" s="599"/>
      <c r="O9" s="599"/>
      <c r="P9" s="599"/>
      <c r="Q9" s="599"/>
      <c r="R9" s="599"/>
    </row>
    <row r="10" spans="1:18" ht="12.75">
      <c r="A10" s="239"/>
      <c r="B10" s="622"/>
      <c r="C10" s="246" t="s">
        <v>74</v>
      </c>
      <c r="D10" s="247">
        <f>$H5/D5</f>
        <v>1.071806167400881</v>
      </c>
      <c r="E10" s="247">
        <f aca="true" t="shared" si="4" ref="E10:J10">$H5/E5</f>
        <v>1.0526391693106432</v>
      </c>
      <c r="F10" s="247">
        <f t="shared" si="4"/>
        <v>1.0495111196319018</v>
      </c>
      <c r="G10" s="247">
        <f t="shared" si="4"/>
        <v>1.0279316496103652</v>
      </c>
      <c r="H10" s="247">
        <f t="shared" si="4"/>
        <v>1</v>
      </c>
      <c r="I10" s="247">
        <f t="shared" si="4"/>
        <v>0.969837895296306</v>
      </c>
      <c r="J10" s="247">
        <f t="shared" si="4"/>
        <v>0.9449277613795245</v>
      </c>
      <c r="M10" s="599"/>
      <c r="N10" s="599"/>
      <c r="O10" s="599"/>
      <c r="P10" s="599"/>
      <c r="Q10" s="599"/>
      <c r="R10" s="599"/>
    </row>
    <row r="11" spans="1:18" ht="12.75">
      <c r="A11" s="239"/>
      <c r="B11" s="622"/>
      <c r="C11" s="244" t="s">
        <v>75</v>
      </c>
      <c r="D11" s="247">
        <f>$I5/D5</f>
        <v>1.1051395007342144</v>
      </c>
      <c r="E11" s="247">
        <f aca="true" t="shared" si="5" ref="E11:J11">$I5/E5</f>
        <v>1.0853764061147968</v>
      </c>
      <c r="F11" s="247">
        <f t="shared" si="5"/>
        <v>1.0821510736196318</v>
      </c>
      <c r="G11" s="247">
        <f t="shared" si="5"/>
        <v>1.059900478828279</v>
      </c>
      <c r="H11" s="247">
        <f t="shared" si="5"/>
        <v>1.0311001507055761</v>
      </c>
      <c r="I11" s="247">
        <f t="shared" si="5"/>
        <v>1</v>
      </c>
      <c r="J11" s="247">
        <f t="shared" si="5"/>
        <v>0.9743151571643105</v>
      </c>
      <c r="M11" s="599"/>
      <c r="N11" s="599"/>
      <c r="O11" s="602"/>
      <c r="P11" s="599"/>
      <c r="Q11" s="599"/>
      <c r="R11" s="599"/>
    </row>
    <row r="12" spans="1:18" ht="12.75">
      <c r="A12" s="239"/>
      <c r="B12" s="623"/>
      <c r="C12" s="244" t="s">
        <v>76</v>
      </c>
      <c r="D12" s="247">
        <f>$J5/D5</f>
        <v>1.134273127753304</v>
      </c>
      <c r="E12" s="247">
        <f aca="true" t="shared" si="6" ref="E12:J12">$J5/E5</f>
        <v>1.1139890395154313</v>
      </c>
      <c r="F12" s="247">
        <f t="shared" si="6"/>
        <v>1.1106786809815952</v>
      </c>
      <c r="G12" s="247">
        <f t="shared" si="6"/>
        <v>1.0878415172284293</v>
      </c>
      <c r="H12" s="247">
        <f t="shared" si="6"/>
        <v>1.0582819564323882</v>
      </c>
      <c r="I12" s="247">
        <f t="shared" si="6"/>
        <v>1.0263619452564443</v>
      </c>
      <c r="J12" s="247">
        <f t="shared" si="6"/>
        <v>1</v>
      </c>
      <c r="M12" s="599"/>
      <c r="N12" s="599"/>
      <c r="O12" s="599"/>
      <c r="P12" s="599"/>
      <c r="Q12" s="599"/>
      <c r="R12" s="599"/>
    </row>
    <row r="13" spans="1:18" ht="12.75">
      <c r="A13" s="249"/>
      <c r="B13" s="250"/>
      <c r="C13" s="251"/>
      <c r="D13" s="252"/>
      <c r="E13" s="252"/>
      <c r="F13" s="252"/>
      <c r="G13" s="252"/>
      <c r="H13" s="252"/>
      <c r="I13" s="252"/>
      <c r="J13" s="253"/>
      <c r="K13" s="253"/>
      <c r="M13" s="599"/>
      <c r="N13" s="599"/>
      <c r="O13" s="599"/>
      <c r="P13" s="599"/>
      <c r="Q13" s="599"/>
      <c r="R13" s="599"/>
    </row>
    <row r="14" spans="2:18" ht="12.75">
      <c r="B14" s="240" t="s">
        <v>593</v>
      </c>
      <c r="M14" s="599"/>
      <c r="N14" s="599"/>
      <c r="O14" s="599"/>
      <c r="P14" s="599"/>
      <c r="Q14" s="599"/>
      <c r="R14" s="599"/>
    </row>
    <row r="15" spans="2:18" ht="12.75">
      <c r="B15" s="241"/>
      <c r="C15" s="241"/>
      <c r="D15" s="618" t="s">
        <v>590</v>
      </c>
      <c r="E15" s="619"/>
      <c r="F15" s="619"/>
      <c r="G15" s="619"/>
      <c r="H15" s="619"/>
      <c r="I15" s="619"/>
      <c r="J15" s="620"/>
      <c r="M15" s="599"/>
      <c r="N15" s="599"/>
      <c r="O15" s="599"/>
      <c r="P15" s="599"/>
      <c r="Q15" s="599"/>
      <c r="R15" s="599"/>
    </row>
    <row r="16" spans="2:18" ht="12.75">
      <c r="B16" s="241"/>
      <c r="C16" s="242"/>
      <c r="D16" s="243">
        <v>2000</v>
      </c>
      <c r="E16" s="243">
        <v>2001</v>
      </c>
      <c r="F16" s="243" t="s">
        <v>591</v>
      </c>
      <c r="G16" s="243" t="s">
        <v>73</v>
      </c>
      <c r="H16" s="243" t="s">
        <v>74</v>
      </c>
      <c r="I16" s="243" t="s">
        <v>75</v>
      </c>
      <c r="J16" s="243" t="s">
        <v>76</v>
      </c>
      <c r="M16" s="599"/>
      <c r="N16" s="599"/>
      <c r="O16" s="599"/>
      <c r="P16" s="599"/>
      <c r="Q16" s="599"/>
      <c r="R16" s="599"/>
    </row>
    <row r="17" spans="2:18" ht="12.75">
      <c r="B17" s="241"/>
      <c r="C17" s="244" t="s">
        <v>508</v>
      </c>
      <c r="D17" s="245">
        <v>172.2</v>
      </c>
      <c r="E17" s="245">
        <v>173.4</v>
      </c>
      <c r="F17" s="245">
        <v>174.5</v>
      </c>
      <c r="G17" s="245">
        <v>179.9</v>
      </c>
      <c r="H17" s="245">
        <v>184.6</v>
      </c>
      <c r="I17" s="245">
        <v>190.5</v>
      </c>
      <c r="J17" s="245">
        <v>195</v>
      </c>
      <c r="M17" s="599"/>
      <c r="N17" s="599"/>
      <c r="O17" s="599"/>
      <c r="P17" s="599"/>
      <c r="Q17" s="599"/>
      <c r="R17" s="599"/>
    </row>
    <row r="18" spans="2:18" ht="12.75">
      <c r="B18" s="621" t="s">
        <v>592</v>
      </c>
      <c r="C18" s="246">
        <v>2000</v>
      </c>
      <c r="D18" s="247">
        <f aca="true" t="shared" si="7" ref="D18:J18">$D17/D17</f>
        <v>1</v>
      </c>
      <c r="E18" s="247">
        <f t="shared" si="7"/>
        <v>0.9930795847750864</v>
      </c>
      <c r="F18" s="247">
        <f t="shared" si="7"/>
        <v>0.9868194842406877</v>
      </c>
      <c r="G18" s="247">
        <f t="shared" si="7"/>
        <v>0.9571984435797665</v>
      </c>
      <c r="H18" s="247">
        <f t="shared" si="7"/>
        <v>0.9328277356446371</v>
      </c>
      <c r="I18" s="247">
        <f t="shared" si="7"/>
        <v>0.9039370078740157</v>
      </c>
      <c r="J18" s="247">
        <f t="shared" si="7"/>
        <v>0.883076923076923</v>
      </c>
      <c r="M18" s="599"/>
      <c r="N18" s="599"/>
      <c r="O18" s="599"/>
      <c r="P18" s="599"/>
      <c r="Q18" s="599"/>
      <c r="R18" s="599"/>
    </row>
    <row r="19" spans="2:18" ht="12.75">
      <c r="B19" s="622"/>
      <c r="C19" s="246">
        <v>2001</v>
      </c>
      <c r="D19" s="247">
        <f aca="true" t="shared" si="8" ref="D19:J19">$E17/D17</f>
        <v>1.0069686411149827</v>
      </c>
      <c r="E19" s="247">
        <f t="shared" si="8"/>
        <v>1</v>
      </c>
      <c r="F19" s="247">
        <f t="shared" si="8"/>
        <v>0.9936962750716333</v>
      </c>
      <c r="G19" s="247">
        <f t="shared" si="8"/>
        <v>0.9638688160088938</v>
      </c>
      <c r="H19" s="247">
        <f t="shared" si="8"/>
        <v>0.9393282773564464</v>
      </c>
      <c r="I19" s="247">
        <f t="shared" si="8"/>
        <v>0.910236220472441</v>
      </c>
      <c r="J19" s="247">
        <f t="shared" si="8"/>
        <v>0.8892307692307693</v>
      </c>
      <c r="M19" s="599"/>
      <c r="N19" s="599"/>
      <c r="O19" s="599"/>
      <c r="P19" s="599"/>
      <c r="Q19" s="599"/>
      <c r="R19" s="599"/>
    </row>
    <row r="20" spans="2:18" ht="12.75">
      <c r="B20" s="622"/>
      <c r="C20" s="246" t="s">
        <v>591</v>
      </c>
      <c r="D20" s="247">
        <f aca="true" t="shared" si="9" ref="D20:J20">$F17/D17</f>
        <v>1.01335656213705</v>
      </c>
      <c r="E20" s="247">
        <f t="shared" si="9"/>
        <v>1.0063437139561706</v>
      </c>
      <c r="F20" s="247">
        <f t="shared" si="9"/>
        <v>1</v>
      </c>
      <c r="G20" s="247">
        <f t="shared" si="9"/>
        <v>0.9699833240689272</v>
      </c>
      <c r="H20" s="247">
        <f t="shared" si="9"/>
        <v>0.9452871072589383</v>
      </c>
      <c r="I20" s="247">
        <f t="shared" si="9"/>
        <v>0.916010498687664</v>
      </c>
      <c r="J20" s="247">
        <f t="shared" si="9"/>
        <v>0.8948717948717949</v>
      </c>
      <c r="M20" s="599"/>
      <c r="N20" s="599"/>
      <c r="O20" s="599"/>
      <c r="P20" s="599"/>
      <c r="Q20" s="599"/>
      <c r="R20" s="599"/>
    </row>
    <row r="21" spans="2:18" ht="12.75">
      <c r="B21" s="622"/>
      <c r="C21" s="246" t="s">
        <v>73</v>
      </c>
      <c r="D21" s="247">
        <f aca="true" t="shared" si="10" ref="D21:J21">$G17/D17</f>
        <v>1.0447154471544717</v>
      </c>
      <c r="E21" s="247">
        <f t="shared" si="10"/>
        <v>1.0374855824682814</v>
      </c>
      <c r="F21" s="247">
        <f t="shared" si="10"/>
        <v>1.030945558739255</v>
      </c>
      <c r="G21" s="247">
        <f t="shared" si="10"/>
        <v>1</v>
      </c>
      <c r="H21" s="247">
        <f t="shared" si="10"/>
        <v>0.9745395449620803</v>
      </c>
      <c r="I21" s="247">
        <f t="shared" si="10"/>
        <v>0.9443569553805775</v>
      </c>
      <c r="J21" s="247">
        <f t="shared" si="10"/>
        <v>0.9225641025641026</v>
      </c>
      <c r="M21" s="599"/>
      <c r="N21" s="599"/>
      <c r="O21" s="599"/>
      <c r="P21" s="599"/>
      <c r="Q21" s="599"/>
      <c r="R21" s="599"/>
    </row>
    <row r="22" spans="2:18" ht="12.75">
      <c r="B22" s="622"/>
      <c r="C22" s="246" t="s">
        <v>74</v>
      </c>
      <c r="D22" s="247">
        <f aca="true" t="shared" si="11" ref="D22:J22">$H17/D17</f>
        <v>1.0720092915214867</v>
      </c>
      <c r="E22" s="247">
        <f t="shared" si="11"/>
        <v>1.0645905420991926</v>
      </c>
      <c r="F22" s="247">
        <f t="shared" si="11"/>
        <v>1.0578796561604584</v>
      </c>
      <c r="G22" s="247">
        <f t="shared" si="11"/>
        <v>1.0261256253474151</v>
      </c>
      <c r="H22" s="247">
        <f t="shared" si="11"/>
        <v>1</v>
      </c>
      <c r="I22" s="247">
        <f t="shared" si="11"/>
        <v>0.9690288713910761</v>
      </c>
      <c r="J22" s="247">
        <f t="shared" si="11"/>
        <v>0.9466666666666667</v>
      </c>
      <c r="M22" s="599"/>
      <c r="N22" s="599"/>
      <c r="O22" s="599"/>
      <c r="P22" s="599"/>
      <c r="Q22" s="599"/>
      <c r="R22" s="599"/>
    </row>
    <row r="23" spans="2:18" ht="12.75">
      <c r="B23" s="622"/>
      <c r="C23" s="244" t="s">
        <v>75</v>
      </c>
      <c r="D23" s="247">
        <f aca="true" t="shared" si="12" ref="D23:J23">$I17/D17</f>
        <v>1.1062717770034844</v>
      </c>
      <c r="E23" s="247">
        <f t="shared" si="12"/>
        <v>1.0986159169550174</v>
      </c>
      <c r="F23" s="247">
        <f t="shared" si="12"/>
        <v>1.0916905444126075</v>
      </c>
      <c r="G23" s="247">
        <f t="shared" si="12"/>
        <v>1.0589216231239578</v>
      </c>
      <c r="H23" s="247">
        <f t="shared" si="12"/>
        <v>1.0319609967497292</v>
      </c>
      <c r="I23" s="247">
        <f t="shared" si="12"/>
        <v>1</v>
      </c>
      <c r="J23" s="247">
        <f t="shared" si="12"/>
        <v>0.9769230769230769</v>
      </c>
      <c r="M23" s="603"/>
      <c r="N23" s="603"/>
      <c r="O23" s="603"/>
      <c r="P23" s="603"/>
      <c r="Q23" s="603"/>
      <c r="R23" s="603"/>
    </row>
    <row r="24" spans="2:18" ht="12.75">
      <c r="B24" s="623"/>
      <c r="C24" s="244" t="s">
        <v>76</v>
      </c>
      <c r="D24" s="247">
        <f aca="true" t="shared" si="13" ref="D24:J24">$J17/D17</f>
        <v>1.132404181184669</v>
      </c>
      <c r="E24" s="247">
        <f t="shared" si="13"/>
        <v>1.1245674740484428</v>
      </c>
      <c r="F24" s="247">
        <f t="shared" si="13"/>
        <v>1.1174785100286533</v>
      </c>
      <c r="G24" s="247">
        <f t="shared" si="13"/>
        <v>1.083935519733185</v>
      </c>
      <c r="H24" s="247">
        <f t="shared" si="13"/>
        <v>1.056338028169014</v>
      </c>
      <c r="I24" s="247">
        <f t="shared" si="13"/>
        <v>1.0236220472440944</v>
      </c>
      <c r="J24" s="247">
        <f t="shared" si="13"/>
        <v>1</v>
      </c>
      <c r="M24" s="603"/>
      <c r="N24" s="603"/>
      <c r="O24" s="603"/>
      <c r="P24" s="603"/>
      <c r="Q24" s="603"/>
      <c r="R24" s="603"/>
    </row>
    <row r="25" spans="13:18" ht="12.75">
      <c r="M25" s="603"/>
      <c r="N25" s="603"/>
      <c r="O25" s="603"/>
      <c r="P25" s="603"/>
      <c r="Q25" s="603"/>
      <c r="R25" s="603"/>
    </row>
    <row r="26" spans="13:18" ht="12.75">
      <c r="M26" s="603"/>
      <c r="N26" s="603"/>
      <c r="O26" s="603"/>
      <c r="P26" s="603"/>
      <c r="Q26" s="603"/>
      <c r="R26" s="603"/>
    </row>
    <row r="27" spans="3:18" ht="12.75">
      <c r="C27" s="254" t="s">
        <v>594</v>
      </c>
      <c r="M27" s="603"/>
      <c r="N27" s="603"/>
      <c r="O27" s="603"/>
      <c r="P27" s="603"/>
      <c r="Q27" s="603"/>
      <c r="R27" s="603"/>
    </row>
    <row r="28" spans="5:18" ht="12.75">
      <c r="E28" s="243" t="s">
        <v>76</v>
      </c>
      <c r="F28" s="243" t="s">
        <v>77</v>
      </c>
      <c r="G28" s="243" t="s">
        <v>91</v>
      </c>
      <c r="H28" s="243" t="s">
        <v>92</v>
      </c>
      <c r="I28" s="243" t="s">
        <v>93</v>
      </c>
      <c r="J28" s="243" t="s">
        <v>94</v>
      </c>
      <c r="K28" s="243" t="s">
        <v>95</v>
      </c>
      <c r="L28" s="243" t="s">
        <v>131</v>
      </c>
      <c r="M28" s="604"/>
      <c r="N28" s="604"/>
      <c r="O28" s="604"/>
      <c r="P28" s="604"/>
      <c r="Q28" s="604"/>
      <c r="R28" s="603"/>
    </row>
    <row r="29" spans="2:18" ht="25.5">
      <c r="B29" s="238" t="s">
        <v>337</v>
      </c>
      <c r="E29" s="255">
        <f>+'RPI factors'!J5</f>
        <v>193.11</v>
      </c>
      <c r="F29" s="255">
        <f aca="true" t="shared" si="14" ref="F29:L29">+E29</f>
        <v>193.11</v>
      </c>
      <c r="G29" s="255">
        <f t="shared" si="14"/>
        <v>193.11</v>
      </c>
      <c r="H29" s="255">
        <f t="shared" si="14"/>
        <v>193.11</v>
      </c>
      <c r="I29" s="255">
        <f t="shared" si="14"/>
        <v>193.11</v>
      </c>
      <c r="J29" s="255">
        <f t="shared" si="14"/>
        <v>193.11</v>
      </c>
      <c r="K29" s="255">
        <f t="shared" si="14"/>
        <v>193.11</v>
      </c>
      <c r="L29" s="255">
        <f t="shared" si="14"/>
        <v>193.11</v>
      </c>
      <c r="M29" s="605"/>
      <c r="N29" s="605"/>
      <c r="O29" s="605"/>
      <c r="P29" s="605"/>
      <c r="Q29" s="605"/>
      <c r="R29" s="603"/>
    </row>
    <row r="30" spans="2:18" ht="25.5">
      <c r="B30" s="238" t="s">
        <v>338</v>
      </c>
      <c r="D30" s="256">
        <v>0.025</v>
      </c>
      <c r="E30" s="255">
        <f>+E29</f>
        <v>193.11</v>
      </c>
      <c r="F30" s="255">
        <f aca="true" t="shared" si="15" ref="F30:L30">+E30*(1+$D$30)</f>
        <v>197.93775</v>
      </c>
      <c r="G30" s="255">
        <f t="shared" si="15"/>
        <v>202.88619375</v>
      </c>
      <c r="H30" s="255">
        <f t="shared" si="15"/>
        <v>207.95834859374997</v>
      </c>
      <c r="I30" s="255">
        <f t="shared" si="15"/>
        <v>213.15730730859372</v>
      </c>
      <c r="J30" s="255">
        <f t="shared" si="15"/>
        <v>218.48623999130854</v>
      </c>
      <c r="K30" s="255">
        <f t="shared" si="15"/>
        <v>223.94839599109122</v>
      </c>
      <c r="L30" s="255">
        <f t="shared" si="15"/>
        <v>229.54710589086847</v>
      </c>
      <c r="M30" s="605"/>
      <c r="N30" s="605"/>
      <c r="O30" s="605"/>
      <c r="P30" s="605"/>
      <c r="Q30" s="605"/>
      <c r="R30" s="603"/>
    </row>
    <row r="31" spans="2:18" ht="12.75">
      <c r="B31" s="238" t="s">
        <v>332</v>
      </c>
      <c r="D31" s="255">
        <f>+$D$5</f>
        <v>170.25</v>
      </c>
      <c r="E31" s="257">
        <f aca="true" t="shared" si="16" ref="E31:G32">+E29/$D31</f>
        <v>1.134273127753304</v>
      </c>
      <c r="F31" s="257">
        <f t="shared" si="16"/>
        <v>1.134273127753304</v>
      </c>
      <c r="G31" s="257">
        <f t="shared" si="16"/>
        <v>1.134273127753304</v>
      </c>
      <c r="H31" s="257">
        <f aca="true" t="shared" si="17" ref="H31:L32">+H29/$D31</f>
        <v>1.134273127753304</v>
      </c>
      <c r="I31" s="257">
        <f t="shared" si="17"/>
        <v>1.134273127753304</v>
      </c>
      <c r="J31" s="257">
        <f t="shared" si="17"/>
        <v>1.134273127753304</v>
      </c>
      <c r="K31" s="257">
        <f t="shared" si="17"/>
        <v>1.134273127753304</v>
      </c>
      <c r="L31" s="257">
        <f t="shared" si="17"/>
        <v>1.134273127753304</v>
      </c>
      <c r="M31" s="606"/>
      <c r="N31" s="606"/>
      <c r="O31" s="606"/>
      <c r="P31" s="606"/>
      <c r="Q31" s="606"/>
      <c r="R31" s="603"/>
    </row>
    <row r="32" spans="2:18" ht="12.75">
      <c r="B32" s="238" t="s">
        <v>333</v>
      </c>
      <c r="D32" s="255">
        <f>+$D$5</f>
        <v>170.25</v>
      </c>
      <c r="E32" s="257">
        <f t="shared" si="16"/>
        <v>1.134273127753304</v>
      </c>
      <c r="F32" s="257">
        <f t="shared" si="16"/>
        <v>1.1626299559471365</v>
      </c>
      <c r="G32" s="257">
        <f t="shared" si="16"/>
        <v>1.191695704845815</v>
      </c>
      <c r="H32" s="257">
        <f t="shared" si="17"/>
        <v>1.2214880974669602</v>
      </c>
      <c r="I32" s="257">
        <f t="shared" si="17"/>
        <v>1.252025299903634</v>
      </c>
      <c r="J32" s="257">
        <f t="shared" si="17"/>
        <v>1.283325932401225</v>
      </c>
      <c r="K32" s="257">
        <f t="shared" si="17"/>
        <v>1.3154090807112553</v>
      </c>
      <c r="L32" s="257">
        <f t="shared" si="17"/>
        <v>1.3482943077290366</v>
      </c>
      <c r="M32" s="606"/>
      <c r="N32" s="606"/>
      <c r="O32" s="606"/>
      <c r="P32" s="606"/>
      <c r="Q32" s="606"/>
      <c r="R32" s="603"/>
    </row>
    <row r="33" spans="2:18" ht="12.75">
      <c r="B33" s="238" t="s">
        <v>774</v>
      </c>
      <c r="D33" s="255">
        <f>+D17</f>
        <v>172.2</v>
      </c>
      <c r="E33" s="255">
        <f>+I17</f>
        <v>190.5</v>
      </c>
      <c r="F33" s="255">
        <f>+J17</f>
        <v>195</v>
      </c>
      <c r="G33" s="255">
        <f>+F33*(1+Input!F51)</f>
        <v>199.87499999999997</v>
      </c>
      <c r="H33" s="255">
        <f>+G33*(1+Input!G51)</f>
        <v>204.87187499999996</v>
      </c>
      <c r="I33" s="255">
        <f>+H33*(1+Input!H51)</f>
        <v>209.99367187499993</v>
      </c>
      <c r="J33" s="255">
        <f>+I33*(1+Input!I51)</f>
        <v>215.24351367187492</v>
      </c>
      <c r="K33" s="255">
        <f>+J33*(1+Input!J51)</f>
        <v>220.62460151367176</v>
      </c>
      <c r="L33" s="255">
        <f>+K33*(1+Input!K51)</f>
        <v>226.14021655151353</v>
      </c>
      <c r="M33" s="605"/>
      <c r="N33" s="605"/>
      <c r="O33" s="605"/>
      <c r="P33" s="605"/>
      <c r="Q33" s="605"/>
      <c r="R33" s="605"/>
    </row>
    <row r="34" spans="2:18" ht="15.75" customHeight="1">
      <c r="B34" s="238" t="s">
        <v>808</v>
      </c>
      <c r="E34" s="257">
        <f aca="true" t="shared" si="18" ref="E34:K34">+F33/E33</f>
        <v>1.0236220472440944</v>
      </c>
      <c r="F34" s="257">
        <f t="shared" si="18"/>
        <v>1.025</v>
      </c>
      <c r="G34" s="257">
        <f t="shared" si="18"/>
        <v>1.025</v>
      </c>
      <c r="H34" s="257">
        <f t="shared" si="18"/>
        <v>1.025</v>
      </c>
      <c r="I34" s="257">
        <f t="shared" si="18"/>
        <v>1.025</v>
      </c>
      <c r="J34" s="257">
        <f t="shared" si="18"/>
        <v>1.025</v>
      </c>
      <c r="K34" s="257">
        <f t="shared" si="18"/>
        <v>1.025</v>
      </c>
      <c r="L34" s="257">
        <f>K34</f>
        <v>1.025</v>
      </c>
      <c r="M34" s="606"/>
      <c r="N34" s="606"/>
      <c r="O34" s="606"/>
      <c r="P34" s="606"/>
      <c r="Q34" s="606"/>
      <c r="R34" s="603"/>
    </row>
    <row r="35" spans="2:18" ht="25.5">
      <c r="B35" s="238" t="s">
        <v>804</v>
      </c>
      <c r="E35" s="257">
        <f aca="true" t="shared" si="19" ref="E35:L35">+E33/$D$32</f>
        <v>1.118942731277533</v>
      </c>
      <c r="F35" s="257">
        <f t="shared" si="19"/>
        <v>1.145374449339207</v>
      </c>
      <c r="G35" s="257">
        <f t="shared" si="19"/>
        <v>1.1740088105726871</v>
      </c>
      <c r="H35" s="257">
        <f t="shared" si="19"/>
        <v>1.2033590308370041</v>
      </c>
      <c r="I35" s="257">
        <f t="shared" si="19"/>
        <v>1.2334430066079292</v>
      </c>
      <c r="J35" s="257">
        <f t="shared" si="19"/>
        <v>1.2642790817731273</v>
      </c>
      <c r="K35" s="257">
        <f t="shared" si="19"/>
        <v>1.2958860588174552</v>
      </c>
      <c r="L35" s="257">
        <f t="shared" si="19"/>
        <v>1.3282832102878914</v>
      </c>
      <c r="M35" s="606"/>
      <c r="N35" s="606"/>
      <c r="O35" s="606"/>
      <c r="P35" s="606"/>
      <c r="Q35" s="606"/>
      <c r="R35" s="603"/>
    </row>
    <row r="36" spans="2:18" ht="25.5">
      <c r="B36" s="238" t="s">
        <v>805</v>
      </c>
      <c r="E36" s="257">
        <f>+F35</f>
        <v>1.145374449339207</v>
      </c>
      <c r="F36" s="257">
        <f>+G35</f>
        <v>1.1740088105726871</v>
      </c>
      <c r="G36" s="257">
        <f>+F36*(1+Input!F51)</f>
        <v>1.2033590308370041</v>
      </c>
      <c r="H36" s="257">
        <f>+G36*(1+Input!G51)</f>
        <v>1.2334430066079292</v>
      </c>
      <c r="I36" s="257">
        <f>+H36*(1+Input!H51)</f>
        <v>1.2642790817731273</v>
      </c>
      <c r="J36" s="257">
        <f>+I36*(1+Input!I51)</f>
        <v>1.2958860588174554</v>
      </c>
      <c r="K36" s="257">
        <f>+J36*(1+Input!J51)</f>
        <v>1.3282832102878916</v>
      </c>
      <c r="L36" s="257">
        <f>+K36*(1+Input!K51)</f>
        <v>1.3614902905450887</v>
      </c>
      <c r="M36" s="606"/>
      <c r="N36" s="606"/>
      <c r="O36" s="606"/>
      <c r="P36" s="606"/>
      <c r="Q36" s="606"/>
      <c r="R36" s="603"/>
    </row>
    <row r="37" spans="2:18" ht="25.5">
      <c r="B37" s="238" t="s">
        <v>806</v>
      </c>
      <c r="E37" s="257">
        <f aca="true" t="shared" si="20" ref="E37:L37">+E35/RPI00to05</f>
        <v>0.9864843871368649</v>
      </c>
      <c r="F37" s="257">
        <f t="shared" si="20"/>
        <v>1.0097871679353736</v>
      </c>
      <c r="G37" s="257">
        <f t="shared" si="20"/>
        <v>1.0350318471337578</v>
      </c>
      <c r="H37" s="257">
        <f t="shared" si="20"/>
        <v>1.0609076433121016</v>
      </c>
      <c r="I37" s="257">
        <f t="shared" si="20"/>
        <v>1.087430334394904</v>
      </c>
      <c r="J37" s="257">
        <f t="shared" si="20"/>
        <v>1.1146160927547766</v>
      </c>
      <c r="K37" s="257">
        <f t="shared" si="20"/>
        <v>1.1424814950736457</v>
      </c>
      <c r="L37" s="257">
        <f t="shared" si="20"/>
        <v>1.1710435324504869</v>
      </c>
      <c r="M37" s="606"/>
      <c r="N37" s="606"/>
      <c r="O37" s="606"/>
      <c r="P37" s="606"/>
      <c r="Q37" s="606"/>
      <c r="R37" s="603"/>
    </row>
    <row r="38" spans="2:18" ht="25.5">
      <c r="B38" s="238" t="s">
        <v>807</v>
      </c>
      <c r="E38" s="257">
        <f aca="true" t="shared" si="21" ref="E38:L38">+E36/RPI00to05</f>
        <v>1.0097871679353736</v>
      </c>
      <c r="F38" s="257">
        <f t="shared" si="21"/>
        <v>1.0350318471337578</v>
      </c>
      <c r="G38" s="257">
        <f t="shared" si="21"/>
        <v>1.0609076433121016</v>
      </c>
      <c r="H38" s="257">
        <f t="shared" si="21"/>
        <v>1.087430334394904</v>
      </c>
      <c r="I38" s="257">
        <f t="shared" si="21"/>
        <v>1.1146160927547766</v>
      </c>
      <c r="J38" s="257">
        <f t="shared" si="21"/>
        <v>1.142481495073646</v>
      </c>
      <c r="K38" s="257">
        <f t="shared" si="21"/>
        <v>1.171043532450487</v>
      </c>
      <c r="L38" s="257">
        <f t="shared" si="21"/>
        <v>1.200319620761749</v>
      </c>
      <c r="M38" s="606"/>
      <c r="N38" s="606"/>
      <c r="O38" s="606"/>
      <c r="P38" s="606"/>
      <c r="Q38" s="606"/>
      <c r="R38" s="603"/>
    </row>
    <row r="39" spans="13:18" ht="12.75">
      <c r="M39" s="599"/>
      <c r="N39" s="599"/>
      <c r="O39" s="599"/>
      <c r="P39" s="599"/>
      <c r="Q39" s="599"/>
      <c r="R39" s="599"/>
    </row>
    <row r="40" spans="13:18" ht="12.75">
      <c r="M40" s="599"/>
      <c r="N40" s="599"/>
      <c r="O40" s="599"/>
      <c r="P40" s="599"/>
      <c r="Q40" s="599"/>
      <c r="R40" s="599"/>
    </row>
  </sheetData>
  <mergeCells count="4">
    <mergeCell ref="D3:J3"/>
    <mergeCell ref="B6:B12"/>
    <mergeCell ref="D15:J15"/>
    <mergeCell ref="B18:B24"/>
  </mergeCells>
  <printOptions/>
  <pageMargins left="0.75" right="0.75" top="1" bottom="1" header="0.5" footer="0.5"/>
  <pageSetup fitToHeight="1" fitToWidth="1" horizontalDpi="600" verticalDpi="600" orientation="portrait" paperSize="9" scale="37" r:id="rId1"/>
</worksheet>
</file>

<file path=xl/worksheets/sheet19.xml><?xml version="1.0" encoding="utf-8"?>
<worksheet xmlns="http://schemas.openxmlformats.org/spreadsheetml/2006/main" xmlns:r="http://schemas.openxmlformats.org/officeDocument/2006/relationships">
  <sheetPr codeName="Sheet28">
    <tabColor indexed="10"/>
  </sheetPr>
  <dimension ref="B19:B19"/>
  <sheetViews>
    <sheetView workbookViewId="0" topLeftCell="IV1">
      <selection activeCell="A1" sqref="A1"/>
    </sheetView>
  </sheetViews>
  <sheetFormatPr defaultColWidth="9.00390625" defaultRowHeight="15"/>
  <cols>
    <col min="1" max="16384" width="0" style="0" hidden="1" customWidth="1"/>
  </cols>
  <sheetData>
    <row r="19" ht="15">
      <c r="B19" s="1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pageSetUpPr fitToPage="1"/>
  </sheetPr>
  <dimension ref="A2:B40"/>
  <sheetViews>
    <sheetView zoomScale="70" zoomScaleNormal="70" workbookViewId="0" topLeftCell="A1">
      <selection activeCell="A1" sqref="A1"/>
    </sheetView>
  </sheetViews>
  <sheetFormatPr defaultColWidth="9.00390625" defaultRowHeight="15"/>
  <cols>
    <col min="1" max="16384" width="9.00390625" style="63" customWidth="1"/>
  </cols>
  <sheetData>
    <row r="2" ht="14.25">
      <c r="B2" s="69" t="s">
        <v>359</v>
      </c>
    </row>
    <row r="4" ht="14.25">
      <c r="B4" s="63" t="s">
        <v>360</v>
      </c>
    </row>
    <row r="5" ht="14.25">
      <c r="B5" s="63" t="s">
        <v>208</v>
      </c>
    </row>
    <row r="6" spans="1:2" ht="14.25">
      <c r="A6" s="71"/>
      <c r="B6" s="63" t="s">
        <v>623</v>
      </c>
    </row>
    <row r="7" spans="1:2" ht="14.25">
      <c r="A7" s="71"/>
      <c r="B7" s="63" t="s">
        <v>361</v>
      </c>
    </row>
    <row r="8" ht="14.25">
      <c r="B8" s="63" t="s">
        <v>209</v>
      </c>
    </row>
    <row r="10" ht="14.25">
      <c r="B10" s="69" t="s">
        <v>426</v>
      </c>
    </row>
    <row r="12" ht="14.25">
      <c r="B12" s="63" t="s">
        <v>279</v>
      </c>
    </row>
    <row r="13" ht="14.25">
      <c r="B13" s="63" t="s">
        <v>427</v>
      </c>
    </row>
    <row r="15" ht="14.25">
      <c r="B15" s="69" t="s">
        <v>362</v>
      </c>
    </row>
    <row r="17" ht="14.25">
      <c r="B17" s="63" t="s">
        <v>366</v>
      </c>
    </row>
    <row r="18" ht="14.25">
      <c r="B18" s="63" t="s">
        <v>367</v>
      </c>
    </row>
    <row r="19" ht="14.25">
      <c r="B19" s="63" t="s">
        <v>374</v>
      </c>
    </row>
    <row r="20" ht="14.25">
      <c r="B20" s="63" t="s">
        <v>375</v>
      </c>
    </row>
    <row r="21" ht="14.25">
      <c r="B21" s="63" t="s">
        <v>376</v>
      </c>
    </row>
    <row r="22" ht="14.25">
      <c r="B22" s="63" t="s">
        <v>407</v>
      </c>
    </row>
    <row r="24" ht="14.25">
      <c r="B24" s="63" t="s">
        <v>420</v>
      </c>
    </row>
    <row r="25" ht="14.25">
      <c r="B25" s="63" t="s">
        <v>150</v>
      </c>
    </row>
    <row r="27" ht="14.25">
      <c r="B27" s="69" t="s">
        <v>421</v>
      </c>
    </row>
    <row r="29" ht="14.25">
      <c r="B29" s="63" t="s">
        <v>422</v>
      </c>
    </row>
    <row r="30" ht="14.25">
      <c r="B30" s="63" t="s">
        <v>424</v>
      </c>
    </row>
    <row r="32" ht="14.25">
      <c r="B32" s="69" t="s">
        <v>423</v>
      </c>
    </row>
    <row r="34" ht="14.25">
      <c r="B34" s="63" t="s">
        <v>425</v>
      </c>
    </row>
    <row r="35" ht="14.25">
      <c r="B35" s="63" t="s">
        <v>281</v>
      </c>
    </row>
    <row r="36" ht="14.25">
      <c r="B36" s="63" t="s">
        <v>280</v>
      </c>
    </row>
    <row r="37" ht="14.25">
      <c r="B37" s="63" t="s">
        <v>813</v>
      </c>
    </row>
    <row r="40" ht="14.25">
      <c r="B40" s="69"/>
    </row>
  </sheetData>
  <printOptions/>
  <pageMargins left="0.75" right="0.75" top="1" bottom="1" header="0.5" footer="0.5"/>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codeName="Sheet7">
    <pageSetUpPr fitToPage="1"/>
  </sheetPr>
  <dimension ref="A1:IQ60"/>
  <sheetViews>
    <sheetView zoomScale="70" zoomScaleNormal="70" workbookViewId="0" topLeftCell="A1">
      <pane xSplit="3" ySplit="4" topLeftCell="D5" activePane="bottomRight" state="frozen"/>
      <selection pane="topLeft" activeCell="G23" sqref="G23"/>
      <selection pane="topRight" activeCell="G23" sqref="G23"/>
      <selection pane="bottomLeft" activeCell="G23" sqref="G23"/>
      <selection pane="bottomRight" activeCell="A1" sqref="A1"/>
    </sheetView>
  </sheetViews>
  <sheetFormatPr defaultColWidth="9.00390625" defaultRowHeight="15"/>
  <cols>
    <col min="1" max="2" width="2.625" style="63" customWidth="1"/>
    <col min="3" max="3" width="33.25390625" style="63" customWidth="1"/>
    <col min="4" max="4" width="2.625" style="63" customWidth="1"/>
    <col min="5" max="6" width="9.375" style="63" customWidth="1"/>
    <col min="7" max="11" width="8.50390625" style="63" customWidth="1"/>
    <col min="12" max="12" width="8.375" style="63" customWidth="1"/>
    <col min="13" max="36" width="8.50390625" style="63" customWidth="1"/>
    <col min="37" max="16384" width="9.00390625" style="63" customWidth="1"/>
  </cols>
  <sheetData>
    <row r="1" spans="1:3" ht="29.25">
      <c r="A1" s="64" t="str">
        <f>+'GDN data output sheet'!C4</f>
        <v>Wales &amp; West</v>
      </c>
      <c r="C1" s="65"/>
    </row>
    <row r="2" ht="14.25">
      <c r="A2" s="216" t="s">
        <v>150</v>
      </c>
    </row>
    <row r="3" spans="3:12" ht="14.25">
      <c r="C3" s="63" t="s">
        <v>783</v>
      </c>
      <c r="E3" s="66" t="e">
        <f>EOMONTH(StartDate,E4*12)</f>
        <v>#NAME?</v>
      </c>
      <c r="F3" s="66" t="e">
        <f>EOMONTH(StartDate,F4*12)</f>
        <v>#NAME?</v>
      </c>
      <c r="G3" s="66" t="e">
        <f>EOMONTH(StartDate,G4*12)</f>
        <v>#NAME?</v>
      </c>
      <c r="H3" s="66" t="e">
        <f>EOMONTH(StartDate,H4*12)</f>
        <v>#NAME?</v>
      </c>
      <c r="I3" s="66" t="e">
        <f>EOMONTH(StartDate,I4*12)</f>
        <v>#NAME?</v>
      </c>
      <c r="J3" s="66" t="e">
        <f>EOMONTH(StartDate,J4*12)</f>
        <v>#NAME?</v>
      </c>
      <c r="K3" s="66" t="e">
        <f>EOMONTH(StartDate,K4*12)</f>
        <v>#NAME?</v>
      </c>
      <c r="L3" s="66" t="e">
        <f>EOMONTH(StartDate,L4*12)</f>
        <v>#NAME?</v>
      </c>
    </row>
    <row r="4" spans="1:12" ht="14.25">
      <c r="A4" s="67"/>
      <c r="B4" s="67"/>
      <c r="C4" s="67" t="s">
        <v>82</v>
      </c>
      <c r="D4" s="67"/>
      <c r="E4" s="68">
        <f>Input!E4</f>
        <v>4</v>
      </c>
      <c r="F4" s="68">
        <f>E4+1</f>
        <v>5</v>
      </c>
      <c r="G4" s="68">
        <f aca="true" t="shared" si="0" ref="G4:L4">F4+1</f>
        <v>6</v>
      </c>
      <c r="H4" s="68">
        <f t="shared" si="0"/>
        <v>7</v>
      </c>
      <c r="I4" s="68">
        <f t="shared" si="0"/>
        <v>8</v>
      </c>
      <c r="J4" s="68">
        <f t="shared" si="0"/>
        <v>9</v>
      </c>
      <c r="K4" s="68">
        <f t="shared" si="0"/>
        <v>10</v>
      </c>
      <c r="L4" s="68">
        <f t="shared" si="0"/>
        <v>11</v>
      </c>
    </row>
    <row r="5" spans="1:12" ht="14.25">
      <c r="A5" s="129"/>
      <c r="B5" s="129"/>
      <c r="C5" s="129"/>
      <c r="D5" s="129"/>
      <c r="E5" s="129"/>
      <c r="F5" s="129"/>
      <c r="G5" s="129"/>
      <c r="H5" s="129"/>
      <c r="I5" s="129"/>
      <c r="J5" s="129"/>
      <c r="K5" s="129"/>
      <c r="L5" s="129"/>
    </row>
    <row r="6" spans="1:12" ht="14.25">
      <c r="A6" s="129"/>
      <c r="B6" s="129"/>
      <c r="C6" s="129" t="s">
        <v>415</v>
      </c>
      <c r="D6" s="129"/>
      <c r="E6" s="207">
        <f>+IF(E4&lt;5.5,Input!E71,+'Allowed revenue'!E48)</f>
        <v>233.398542973836</v>
      </c>
      <c r="F6" s="207">
        <f>+IF(F4&lt;5.5,Input!F71,+'Allowed revenue'!F48)</f>
        <v>229.82734035094035</v>
      </c>
      <c r="G6" s="207">
        <f>+IF(G4&lt;5.5,Input!G71,+'Allowed revenue'!G48)</f>
        <v>251.99796044930216</v>
      </c>
      <c r="H6" s="207">
        <f>+IF(H4&lt;5.5,Input!H71,+'Allowed revenue'!H48)</f>
        <v>253.14028496520626</v>
      </c>
      <c r="I6" s="207">
        <f>+IF(I4&lt;5.5,Input!I71,+'Allowed revenue'!I48)</f>
        <v>263.1399052181004</v>
      </c>
      <c r="J6" s="207">
        <f>+IF(J4&lt;5.5,Input!J71,+'Allowed revenue'!J48)</f>
        <v>263.2176311003132</v>
      </c>
      <c r="K6" s="207">
        <f>+IF(K4&lt;5.5,Input!K71,+'Allowed revenue'!K48)</f>
        <v>266.0495001273214</v>
      </c>
      <c r="L6" s="207">
        <f>+IF(L4&lt;5.5,Input!L71,+'Allowed revenue'!L48)</f>
        <v>267.3049015616096</v>
      </c>
    </row>
    <row r="7" spans="1:12" ht="14.25">
      <c r="A7" s="138"/>
      <c r="C7" s="63" t="s">
        <v>416</v>
      </c>
      <c r="E7" s="207">
        <f>-Input!E85</f>
        <v>11.893</v>
      </c>
      <c r="F7" s="207">
        <f>-Input!F85</f>
        <v>9.020367864183251</v>
      </c>
      <c r="G7" s="207">
        <f>-Input!G85</f>
        <v>6.6611850200102385</v>
      </c>
      <c r="H7" s="207">
        <f>-Input!H85</f>
        <v>6.766510133310931</v>
      </c>
      <c r="I7" s="207">
        <f>-Input!I85</f>
        <v>6.873855773085443</v>
      </c>
      <c r="J7" s="207">
        <f>-Input!J85</f>
        <v>6.983261490105327</v>
      </c>
      <c r="K7" s="207">
        <f>-Input!K85</f>
        <v>7.094767617559991</v>
      </c>
      <c r="L7" s="207">
        <f>-Input!L85</f>
        <v>7.208415286619075</v>
      </c>
    </row>
    <row r="8" spans="1:12" ht="14.25">
      <c r="A8" s="65"/>
      <c r="B8" s="122" t="s">
        <v>785</v>
      </c>
      <c r="E8" s="207">
        <f>E6+E7</f>
        <v>245.291542973836</v>
      </c>
      <c r="F8" s="207">
        <f aca="true" t="shared" si="1" ref="F8:L8">F6+F7</f>
        <v>238.8477082151236</v>
      </c>
      <c r="G8" s="207">
        <f t="shared" si="1"/>
        <v>258.6591454693124</v>
      </c>
      <c r="H8" s="207">
        <f t="shared" si="1"/>
        <v>259.9067950985172</v>
      </c>
      <c r="I8" s="207">
        <f t="shared" si="1"/>
        <v>270.01376099118585</v>
      </c>
      <c r="J8" s="207">
        <f t="shared" si="1"/>
        <v>270.20089259041856</v>
      </c>
      <c r="K8" s="207">
        <f t="shared" si="1"/>
        <v>273.14426774488135</v>
      </c>
      <c r="L8" s="207">
        <f t="shared" si="1"/>
        <v>274.51331684822867</v>
      </c>
    </row>
    <row r="9" spans="2:12" ht="14.25">
      <c r="B9" s="122"/>
      <c r="C9" s="63" t="s">
        <v>66</v>
      </c>
      <c r="E9" s="208">
        <f>+Input!E75</f>
        <v>-84.05889398607405</v>
      </c>
      <c r="F9" s="208">
        <f>+Input!F75</f>
        <v>-81.08775708195662</v>
      </c>
      <c r="G9" s="208">
        <f>+Input!G75</f>
        <v>-94.51264372219961</v>
      </c>
      <c r="H9" s="208">
        <f>+Input!H75</f>
        <v>-90.0033226432581</v>
      </c>
      <c r="I9" s="208">
        <f>+Input!I75</f>
        <v>-90.0934948758302</v>
      </c>
      <c r="J9" s="208">
        <f>+Input!J75</f>
        <v>-87.85254646755291</v>
      </c>
      <c r="K9" s="208">
        <f>+Input!K75</f>
        <v>-86.21328338239668</v>
      </c>
      <c r="L9" s="208">
        <f>+Input!L75</f>
        <v>-84.49360514135667</v>
      </c>
    </row>
    <row r="10" spans="2:12" ht="14.25">
      <c r="B10" s="122"/>
      <c r="C10" s="63" t="s">
        <v>603</v>
      </c>
      <c r="E10" s="208">
        <f>+Input!E80+Input!E81</f>
        <v>-41.73181131075062</v>
      </c>
      <c r="F10" s="208">
        <f>+Input!F80+Input!F81</f>
        <v>-38.21557858589826</v>
      </c>
      <c r="G10" s="208">
        <f>+Input!G80+Input!G81</f>
        <v>-53.9408930495136</v>
      </c>
      <c r="H10" s="208">
        <f>+Input!H80+Input!H81</f>
        <v>-66.21041482984417</v>
      </c>
      <c r="I10" s="208">
        <f>+Input!I80+Input!I81</f>
        <v>-76.73029639062918</v>
      </c>
      <c r="J10" s="208">
        <f>+Input!J80+Input!J81</f>
        <v>-72.55666239944065</v>
      </c>
      <c r="K10" s="208">
        <f>+Input!K80+Input!K81</f>
        <v>-72.69034012552291</v>
      </c>
      <c r="L10" s="208">
        <f>+Input!L80+Input!L81</f>
        <v>-71.1679168621967</v>
      </c>
    </row>
    <row r="11" spans="2:12" ht="14.25">
      <c r="B11" s="122"/>
      <c r="C11" s="63" t="s">
        <v>67</v>
      </c>
      <c r="E11" s="208">
        <f>+Input!E82-'Pension Allowances'!E8</f>
        <v>-19.931773206407627</v>
      </c>
      <c r="F11" s="208">
        <f>+Input!F82-'Pension Allowances'!F8</f>
        <v>-21.069998931512178</v>
      </c>
      <c r="G11" s="208">
        <f>+Input!G82-'Pension Allowances'!G8</f>
        <v>-25.04812507972897</v>
      </c>
      <c r="H11" s="208">
        <f>+Input!H82-'Pension Allowances'!H8</f>
        <v>-24.980248144411366</v>
      </c>
      <c r="I11" s="208">
        <f>+Input!I82-'Pension Allowances'!I8</f>
        <v>-24.914026744101513</v>
      </c>
      <c r="J11" s="208">
        <f>+Input!J82-'Pension Allowances'!J8</f>
        <v>-24.849420499896773</v>
      </c>
      <c r="K11" s="208">
        <f>+Input!K82-'Pension Allowances'!K8</f>
        <v>-24.786390017745813</v>
      </c>
      <c r="L11" s="208">
        <f>+Input!L82-'Pension Allowances'!L8</f>
        <v>-24.7248968644278</v>
      </c>
    </row>
    <row r="12" spans="3:12" ht="14.25">
      <c r="C12" s="63" t="s">
        <v>417</v>
      </c>
      <c r="E12" s="208">
        <f>Input!E85</f>
        <v>-11.893</v>
      </c>
      <c r="F12" s="208">
        <f>Input!F85</f>
        <v>-9.020367864183251</v>
      </c>
      <c r="G12" s="208">
        <f>Input!G85</f>
        <v>-6.6611850200102385</v>
      </c>
      <c r="H12" s="208">
        <f>Input!H85</f>
        <v>-6.766510133310931</v>
      </c>
      <c r="I12" s="208">
        <f>Input!I85</f>
        <v>-6.873855773085443</v>
      </c>
      <c r="J12" s="208">
        <f>Input!J85</f>
        <v>-6.983261490105327</v>
      </c>
      <c r="K12" s="208">
        <f>Input!K85</f>
        <v>-7.094767617559991</v>
      </c>
      <c r="L12" s="208">
        <f>Input!L85</f>
        <v>-7.208415286619075</v>
      </c>
    </row>
    <row r="13" spans="3:12" ht="14.25">
      <c r="C13" s="71" t="s">
        <v>786</v>
      </c>
      <c r="E13" s="208">
        <f>+Input!E105</f>
        <v>-38.3</v>
      </c>
      <c r="F13" s="208">
        <f>+Input!F105</f>
        <v>-45</v>
      </c>
      <c r="G13" s="208">
        <f>+Input!G105</f>
        <v>-46.1</v>
      </c>
      <c r="H13" s="260">
        <f>+Input!H105</f>
        <v>-53.7</v>
      </c>
      <c r="I13" s="260">
        <f>+Input!I105</f>
        <v>-53.7</v>
      </c>
      <c r="J13" s="260">
        <f>+Input!J105</f>
        <v>-53.7</v>
      </c>
      <c r="K13" s="260">
        <f>+Input!K105</f>
        <v>-53.7</v>
      </c>
      <c r="L13" s="260">
        <f>+Input!L105</f>
        <v>-53.7</v>
      </c>
    </row>
    <row r="14" spans="3:12" ht="14.25">
      <c r="C14" s="71" t="s">
        <v>656</v>
      </c>
      <c r="E14" s="209">
        <f>+'P&amp;L (Nominal)'!E14/RPI2000allnom*RPI00to05</f>
        <v>0</v>
      </c>
      <c r="F14" s="209">
        <f>+'P&amp;L (Nominal)'!F14/RPI2000allnom*RPI00to05</f>
        <v>0</v>
      </c>
      <c r="G14" s="209">
        <f>+'P&amp;L (Nominal)'!G14/RPI2000allnom*RPI00to05</f>
        <v>0</v>
      </c>
      <c r="H14" s="261">
        <f>+'P&amp;L (Nominal)'!H14/RPI2000allnom*RPI00to05</f>
        <v>0</v>
      </c>
      <c r="I14" s="261">
        <f>+'P&amp;L (Nominal)'!I14/RPI2000allnom*RPI00to05</f>
        <v>0</v>
      </c>
      <c r="J14" s="261">
        <f>+'P&amp;L (Nominal)'!J14/RPI2000allnom*RPI00to05</f>
        <v>0</v>
      </c>
      <c r="K14" s="261">
        <f>+'P&amp;L (Nominal)'!K14/RPI2000allnom*RPI00to05</f>
        <v>0</v>
      </c>
      <c r="L14" s="261">
        <f>+'P&amp;L (Nominal)'!L14/RPI2000allnom*RPI00to05</f>
        <v>0</v>
      </c>
    </row>
    <row r="15" spans="2:251" ht="14.25">
      <c r="B15" s="69" t="s">
        <v>792</v>
      </c>
      <c r="C15" s="71"/>
      <c r="E15" s="207">
        <f aca="true" t="shared" si="2" ref="E15:L15">SUM(E8:E14)</f>
        <v>49.37606447060368</v>
      </c>
      <c r="F15" s="207">
        <f t="shared" si="2"/>
        <v>44.45400575157328</v>
      </c>
      <c r="G15" s="207">
        <f t="shared" si="2"/>
        <v>32.39629859786</v>
      </c>
      <c r="H15" s="207">
        <f t="shared" si="2"/>
        <v>18.246299347692613</v>
      </c>
      <c r="I15" s="207">
        <f t="shared" si="2"/>
        <v>17.70208720753952</v>
      </c>
      <c r="J15" s="207">
        <f t="shared" si="2"/>
        <v>24.259001733422892</v>
      </c>
      <c r="K15" s="207">
        <f t="shared" si="2"/>
        <v>28.659486601655928</v>
      </c>
      <c r="L15" s="207">
        <f t="shared" si="2"/>
        <v>33.2184826936284</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7"/>
    </row>
    <row r="16" spans="3:12" ht="14.25">
      <c r="C16" s="71" t="s">
        <v>713</v>
      </c>
      <c r="E16" s="208">
        <f>+'P&amp;L (Nominal)'!E16/RPI2000allnom*RPI00to05</f>
        <v>0</v>
      </c>
      <c r="F16" s="208">
        <f>+'P&amp;L (Nominal)'!F16/RPI2000allnom*RPI00to05</f>
        <v>0</v>
      </c>
      <c r="G16" s="208">
        <f>+'P&amp;L (Nominal)'!G16/RPI2000allnom*RPI00to05</f>
        <v>0</v>
      </c>
      <c r="H16" s="208">
        <f>+'P&amp;L (Nominal)'!H16/RPI2000allnom*RPI00to05</f>
        <v>0</v>
      </c>
      <c r="I16" s="208">
        <f>+'P&amp;L (Nominal)'!I16/RPI2000allnom*RPI00to05</f>
        <v>0</v>
      </c>
      <c r="J16" s="208">
        <f>+'P&amp;L (Nominal)'!J16/RPI2000allnom*RPI00to05</f>
        <v>0</v>
      </c>
      <c r="K16" s="208">
        <f>+'P&amp;L (Nominal)'!K16/RPI2000allnom*RPI00to05</f>
        <v>0</v>
      </c>
      <c r="L16" s="208">
        <f>+'P&amp;L (Nominal)'!L16/RPI2000allnom*RPI00to05</f>
        <v>0</v>
      </c>
    </row>
    <row r="17" spans="2:12" ht="14.25">
      <c r="B17" s="122" t="s">
        <v>6</v>
      </c>
      <c r="E17" s="210">
        <f aca="true" t="shared" si="3" ref="E17:L17">SUM(E15:E16)</f>
        <v>49.37606447060368</v>
      </c>
      <c r="F17" s="210">
        <f t="shared" si="3"/>
        <v>44.45400575157328</v>
      </c>
      <c r="G17" s="210">
        <f t="shared" si="3"/>
        <v>32.39629859786</v>
      </c>
      <c r="H17" s="210">
        <f t="shared" si="3"/>
        <v>18.246299347692613</v>
      </c>
      <c r="I17" s="210">
        <f t="shared" si="3"/>
        <v>17.70208720753952</v>
      </c>
      <c r="J17" s="210">
        <f t="shared" si="3"/>
        <v>24.259001733422892</v>
      </c>
      <c r="K17" s="210">
        <f t="shared" si="3"/>
        <v>28.659486601655928</v>
      </c>
      <c r="L17" s="210">
        <f t="shared" si="3"/>
        <v>33.2184826936284</v>
      </c>
    </row>
    <row r="18" spans="3:12" ht="14.25">
      <c r="C18" s="121" t="s">
        <v>79</v>
      </c>
      <c r="E18" s="207">
        <f>IF(E4&lt;6.5,-Input!E57*Input!E60*RealRAV!E36,-'Balance Sheet (nominal)'!D59*Input!E60*RealRAV!E36)</f>
        <v>-52.87537398901619</v>
      </c>
      <c r="F18" s="207">
        <f>IF(F4&lt;6.5,-Input!F57*Input!F60*RealRAV!F36,-'Balance Sheet (nominal)'!E59*Input!F60*RealRAV!F36)</f>
        <v>-53.355285926793336</v>
      </c>
      <c r="G18" s="207">
        <f>IF(G4&lt;6.5,-Input!G57*Input!G60*RealRAV!G36,-'Balance Sheet (nominal)'!F59*Input!G60*RealRAV!G36)</f>
        <v>-54.62473243196066</v>
      </c>
      <c r="H18" s="207">
        <f>IF(H4&lt;6.5,-Input!H57*Input!H60*RealRAV!H36,-'Balance Sheet (nominal)'!G59*Input!H60*RealRAV!H36)</f>
        <v>-47.591811158878045</v>
      </c>
      <c r="I18" s="207">
        <f>IF(I4&lt;6.5,-Input!I57*Input!I60*RealRAV!I36,-'Balance Sheet (nominal)'!H59*Input!I60*RealRAV!I36)</f>
        <v>-49.57435421235626</v>
      </c>
      <c r="J18" s="207">
        <f>IF(J4&lt;6.5,-Input!J57*Input!J60*RealRAV!J36,-'Balance Sheet (nominal)'!I59*Input!J60*RealRAV!J36)</f>
        <v>-51.359820388668574</v>
      </c>
      <c r="K18" s="207">
        <f>IF(K4&lt;6.5,-Input!K57*Input!K60*RealRAV!K36,-'Balance Sheet (nominal)'!J59*Input!K60*RealRAV!K36)</f>
        <v>-52.55744611721185</v>
      </c>
      <c r="L18" s="207">
        <f>IF(L4&lt;6.5,-Input!L57*Input!L60*RealRAV!L36,-'Balance Sheet (nominal)'!K59*Input!L60*RealRAV!L36)</f>
        <v>-53.49173714453721</v>
      </c>
    </row>
    <row r="19" spans="2:12" ht="14.25">
      <c r="B19" s="122" t="s">
        <v>787</v>
      </c>
      <c r="E19" s="210">
        <f aca="true" t="shared" si="4" ref="E19:L19">SUM(E17:E18)</f>
        <v>-3.4993095184125096</v>
      </c>
      <c r="F19" s="210">
        <f t="shared" si="4"/>
        <v>-8.901280175220059</v>
      </c>
      <c r="G19" s="210">
        <f t="shared" si="4"/>
        <v>-22.228433834100656</v>
      </c>
      <c r="H19" s="210">
        <f t="shared" si="4"/>
        <v>-29.345511811185432</v>
      </c>
      <c r="I19" s="210">
        <f t="shared" si="4"/>
        <v>-31.87226700481674</v>
      </c>
      <c r="J19" s="210">
        <f t="shared" si="4"/>
        <v>-27.100818655245682</v>
      </c>
      <c r="K19" s="210">
        <f t="shared" si="4"/>
        <v>-23.897959515555925</v>
      </c>
      <c r="L19" s="210">
        <f t="shared" si="4"/>
        <v>-20.27325445090881</v>
      </c>
    </row>
    <row r="20" spans="3:12" ht="14.25">
      <c r="C20" s="121" t="s">
        <v>69</v>
      </c>
      <c r="E20" s="207">
        <f>+Tax!E18</f>
        <v>-2.1733050843657975</v>
      </c>
      <c r="F20" s="207">
        <f>+Tax!F18</f>
        <v>-2.2414607900602093</v>
      </c>
      <c r="G20" s="207">
        <f>+Tax!G18</f>
        <v>0</v>
      </c>
      <c r="H20" s="207">
        <f>+Tax!H18</f>
        <v>0</v>
      </c>
      <c r="I20" s="207">
        <f>+Tax!I18</f>
        <v>0</v>
      </c>
      <c r="J20" s="207">
        <f>+Tax!J18</f>
        <v>0</v>
      </c>
      <c r="K20" s="207">
        <f>+Tax!K18</f>
        <v>0</v>
      </c>
      <c r="L20" s="207">
        <f>+Tax!L18</f>
        <v>0</v>
      </c>
    </row>
    <row r="21" spans="3:12" ht="14.25">
      <c r="C21" s="121" t="s">
        <v>402</v>
      </c>
      <c r="E21" s="207">
        <f>-E19*Input!E59-E20</f>
        <v>3.2230979398895503</v>
      </c>
      <c r="F21" s="207">
        <f>-F19*Input!F59-F20</f>
        <v>4.911844842626227</v>
      </c>
      <c r="G21" s="207">
        <f>-G19*Input!G59-G20</f>
        <v>6.668530150230197</v>
      </c>
      <c r="H21" s="207">
        <f>-H19*Input!H59-H20</f>
        <v>8.216743307131921</v>
      </c>
      <c r="I21" s="207">
        <f>-I19*Input!I59-I20</f>
        <v>8.92423476134869</v>
      </c>
      <c r="J21" s="207">
        <f>-J19*Input!J59-J20</f>
        <v>7.588229223468792</v>
      </c>
      <c r="K21" s="207">
        <f>-K19*Input!K59-K20</f>
        <v>6.6914286643556595</v>
      </c>
      <c r="L21" s="207">
        <f>-L19*Input!L59-L20</f>
        <v>5.676511246254467</v>
      </c>
    </row>
    <row r="22" spans="2:12" ht="14.25">
      <c r="B22" s="122" t="s">
        <v>789</v>
      </c>
      <c r="E22" s="210">
        <f aca="true" t="shared" si="5" ref="E22:L22">SUM(E19:E21)</f>
        <v>-2.4495166628887564</v>
      </c>
      <c r="F22" s="210">
        <f t="shared" si="5"/>
        <v>-6.230896122654041</v>
      </c>
      <c r="G22" s="210">
        <f t="shared" si="5"/>
        <v>-15.55990368387046</v>
      </c>
      <c r="H22" s="210">
        <f t="shared" si="5"/>
        <v>-21.12876850405351</v>
      </c>
      <c r="I22" s="210">
        <f t="shared" si="5"/>
        <v>-22.948032243468052</v>
      </c>
      <c r="J22" s="210">
        <f t="shared" si="5"/>
        <v>-19.512589431776888</v>
      </c>
      <c r="K22" s="210">
        <f t="shared" si="5"/>
        <v>-17.206530851200267</v>
      </c>
      <c r="L22" s="210">
        <f t="shared" si="5"/>
        <v>-14.596743204654341</v>
      </c>
    </row>
    <row r="23" spans="1:251" s="71" customFormat="1" ht="14.25">
      <c r="A23" s="63"/>
      <c r="B23" s="63"/>
      <c r="C23" s="121" t="s">
        <v>795</v>
      </c>
      <c r="D23" s="63"/>
      <c r="E23" s="211">
        <f>IF(E4&lt;6.5,-(1-Input!E57)*Input!E63*RealRAV!E36,-(1-'Balance Sheet (nominal)'!D59)*Input!E63*RealRAV!E36)</f>
        <v>-15.239544454395856</v>
      </c>
      <c r="F23" s="211">
        <f>IF(F4&lt;6.5,-(1-Input!F57)*Input!F63*RealRAV!F36,-(1-'Balance Sheet (nominal)'!E59)*Input!F63*RealRAV!F36)</f>
        <v>-15.670783279198067</v>
      </c>
      <c r="G23" s="211">
        <f>IF(G4&lt;6.5,-(1-Input!G57)*Input!G63*RealRAV!G36,-(1-'Balance Sheet (nominal)'!F59)*Input!G63*RealRAV!G36)</f>
        <v>-16.04362770728917</v>
      </c>
      <c r="H23" s="211">
        <f>IF(H4&lt;6.5,-(1-Input!H57)*Input!H63*RealRAV!H36,-(1-'Balance Sheet (nominal)'!G59)*Input!H63*RealRAV!H36)</f>
        <v>-16.51947164192461</v>
      </c>
      <c r="I23" s="211">
        <f>IF(I4&lt;6.5,-(1-Input!I57)*Input!I63*RealRAV!I36,-(1-'Balance Sheet (nominal)'!H59)*Input!I63*RealRAV!I36)</f>
        <v>-17.088155156312805</v>
      </c>
      <c r="J23" s="211">
        <f>IF(J4&lt;6.5,-(1-Input!J57)*Input!J63*RealRAV!J36,-(1-'Balance Sheet (nominal)'!I59)*Input!J63*RealRAV!J36)</f>
        <v>-17.58909850351886</v>
      </c>
      <c r="K23" s="211">
        <f>IF(K4&lt;6.5,-(1-Input!K57)*Input!K63*RealRAV!K36,-(1-'Balance Sheet (nominal)'!J59)*Input!K63*RealRAV!K36)</f>
        <v>-18.18238080078992</v>
      </c>
      <c r="L23" s="211">
        <f>IF(L4&lt;6.5,-(1-Input!L57)*Input!L63*RealRAV!L36,-(1-'Balance Sheet (nominal)'!K59)*Input!L63*RealRAV!L36)</f>
        <v>-18.838448951545665</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c r="IF23" s="211"/>
      <c r="IG23" s="211"/>
      <c r="IH23" s="211"/>
      <c r="II23" s="211"/>
      <c r="IJ23" s="211"/>
      <c r="IK23" s="211"/>
      <c r="IL23" s="211"/>
      <c r="IM23" s="211"/>
      <c r="IN23" s="211"/>
      <c r="IO23" s="211"/>
      <c r="IP23" s="211"/>
      <c r="IQ23" s="211"/>
    </row>
    <row r="24" spans="2:12" ht="15" thickBot="1">
      <c r="B24" s="122" t="s">
        <v>790</v>
      </c>
      <c r="E24" s="212">
        <f aca="true" t="shared" si="6" ref="E24:L24">SUM(E22:E23)</f>
        <v>-17.689061117284613</v>
      </c>
      <c r="F24" s="212">
        <f t="shared" si="6"/>
        <v>-21.901679401852107</v>
      </c>
      <c r="G24" s="212">
        <f t="shared" si="6"/>
        <v>-31.603531391159628</v>
      </c>
      <c r="H24" s="212">
        <f t="shared" si="6"/>
        <v>-37.64824014597812</v>
      </c>
      <c r="I24" s="212">
        <f t="shared" si="6"/>
        <v>-40.03618739978086</v>
      </c>
      <c r="J24" s="212">
        <f t="shared" si="6"/>
        <v>-37.10168793529574</v>
      </c>
      <c r="K24" s="212">
        <f t="shared" si="6"/>
        <v>-35.388911651990185</v>
      </c>
      <c r="L24" s="212">
        <f t="shared" si="6"/>
        <v>-33.4351921562</v>
      </c>
    </row>
    <row r="25" spans="2:12" ht="15" thickTop="1">
      <c r="B25" s="122"/>
      <c r="E25" s="208"/>
      <c r="F25" s="208"/>
      <c r="G25" s="208"/>
      <c r="H25" s="208"/>
      <c r="I25" s="208"/>
      <c r="J25" s="208"/>
      <c r="K25" s="208"/>
      <c r="L25" s="208"/>
    </row>
    <row r="26" spans="5:12" ht="14.25">
      <c r="E26" s="213"/>
      <c r="F26" s="208"/>
      <c r="G26" s="208"/>
      <c r="H26" s="207"/>
      <c r="I26" s="207"/>
      <c r="J26" s="207"/>
      <c r="K26" s="207"/>
      <c r="L26" s="207"/>
    </row>
    <row r="27" spans="1:12" ht="14.25">
      <c r="A27" s="138"/>
      <c r="C27" s="208" t="s">
        <v>151</v>
      </c>
      <c r="E27" s="208"/>
      <c r="F27" s="208"/>
      <c r="G27" s="208"/>
      <c r="H27" s="207"/>
      <c r="I27" s="207"/>
      <c r="J27" s="207"/>
      <c r="K27" s="207"/>
      <c r="L27" s="207"/>
    </row>
    <row r="28" spans="5:7" ht="14.25">
      <c r="E28" s="207"/>
      <c r="F28" s="207"/>
      <c r="G28" s="208"/>
    </row>
    <row r="29" spans="5:7" ht="14.25">
      <c r="E29" s="207"/>
      <c r="F29" s="207"/>
      <c r="G29" s="208"/>
    </row>
    <row r="30" spans="6:7" ht="14.25">
      <c r="F30" s="207"/>
      <c r="G30" s="208"/>
    </row>
    <row r="31" spans="6:7" ht="14.25">
      <c r="F31" s="207"/>
      <c r="G31" s="208"/>
    </row>
    <row r="32" spans="5:7" ht="14.25">
      <c r="E32" s="207"/>
      <c r="F32" s="207"/>
      <c r="G32" s="208"/>
    </row>
    <row r="33" spans="5:7" ht="14.25">
      <c r="E33" s="207"/>
      <c r="F33" s="207"/>
      <c r="G33" s="208"/>
    </row>
    <row r="34" spans="5:7" ht="14.25">
      <c r="E34" s="207"/>
      <c r="F34" s="207"/>
      <c r="G34" s="208"/>
    </row>
    <row r="35" spans="5:7" ht="14.25">
      <c r="E35" s="207"/>
      <c r="F35" s="207"/>
      <c r="G35" s="208"/>
    </row>
    <row r="36" spans="5:7" ht="14.25">
      <c r="E36" s="207"/>
      <c r="F36" s="207"/>
      <c r="G36" s="208"/>
    </row>
    <row r="37" spans="5:7" ht="14.25">
      <c r="E37" s="207"/>
      <c r="F37" s="207"/>
      <c r="G37" s="208"/>
    </row>
    <row r="38" spans="6:7" ht="14.25">
      <c r="F38" s="207"/>
      <c r="G38" s="208"/>
    </row>
    <row r="39" spans="6:7" ht="14.25">
      <c r="F39" s="207"/>
      <c r="G39" s="208"/>
    </row>
    <row r="40" spans="6:7" ht="14.25">
      <c r="F40" s="207"/>
      <c r="G40" s="208"/>
    </row>
    <row r="41" ht="14.25">
      <c r="G41" s="208"/>
    </row>
    <row r="42" spans="6:7" ht="14.25">
      <c r="F42" s="207"/>
      <c r="G42" s="208"/>
    </row>
    <row r="43" ht="14.25">
      <c r="G43" s="260"/>
    </row>
    <row r="44" spans="6:7" ht="14.25">
      <c r="F44" s="207"/>
      <c r="G44" s="208"/>
    </row>
    <row r="45" ht="14.25">
      <c r="F45" s="207"/>
    </row>
    <row r="46" spans="6:7" ht="14.25">
      <c r="F46" s="207"/>
      <c r="G46" s="207"/>
    </row>
    <row r="47" ht="14.25">
      <c r="F47" s="207"/>
    </row>
    <row r="48" spans="6:7" ht="14.25">
      <c r="F48" s="207"/>
      <c r="G48" s="207"/>
    </row>
    <row r="50" ht="14.25">
      <c r="G50" s="207"/>
    </row>
    <row r="51" ht="14.25">
      <c r="G51" s="207"/>
    </row>
    <row r="54" ht="14.25">
      <c r="G54" s="70"/>
    </row>
    <row r="55" ht="14.25">
      <c r="G55" s="207"/>
    </row>
    <row r="57" ht="14.25">
      <c r="G57" s="70"/>
    </row>
    <row r="58" ht="14.25">
      <c r="G58" s="70"/>
    </row>
    <row r="60" ht="14.25">
      <c r="G60" s="207"/>
    </row>
  </sheetData>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r:id="rId1"/>
  <headerFooter alignWithMargins="0">
    <oddHeader>&amp;L&amp;F&amp;R&amp;A</oddHeader>
    <oddFooter>&amp;L&amp;D&amp;T&amp;CPage &amp;P of &amp;N</oddFooter>
  </headerFooter>
</worksheet>
</file>

<file path=xl/worksheets/sheet21.xml><?xml version="1.0" encoding="utf-8"?>
<worksheet xmlns="http://schemas.openxmlformats.org/spreadsheetml/2006/main" xmlns:r="http://schemas.openxmlformats.org/officeDocument/2006/relationships">
  <sheetPr codeName="Sheet44"/>
  <dimension ref="A1:IQ60"/>
  <sheetViews>
    <sheetView zoomScale="70" zoomScaleNormal="70" workbookViewId="0" topLeftCell="A1">
      <selection activeCell="A1" sqref="A1"/>
    </sheetView>
  </sheetViews>
  <sheetFormatPr defaultColWidth="9.00390625" defaultRowHeight="15"/>
  <cols>
    <col min="1" max="1" width="2.625" style="71" customWidth="1"/>
    <col min="2" max="2" width="2.625" style="63" customWidth="1"/>
    <col min="3" max="3" width="33.25390625" style="63" customWidth="1"/>
    <col min="4" max="4" width="2.625" style="63" customWidth="1"/>
    <col min="5" max="6" width="9.375" style="63" bestFit="1" customWidth="1"/>
    <col min="7" max="7" width="9.00390625" style="63" customWidth="1"/>
    <col min="8" max="11" width="8.125" style="63" bestFit="1" customWidth="1"/>
    <col min="12" max="12" width="8.625" style="63" bestFit="1" customWidth="1"/>
    <col min="13" max="33" width="7.125" style="98" customWidth="1"/>
    <col min="34" max="34" width="13.50390625" style="512" customWidth="1"/>
    <col min="35" max="37" width="7.125" style="98" customWidth="1"/>
    <col min="38" max="16384" width="9.00390625" style="98" customWidth="1"/>
  </cols>
  <sheetData>
    <row r="1" spans="1:34" ht="29.25">
      <c r="A1" s="462" t="str">
        <f>+'GDN data output sheet'!C4</f>
        <v>Wales &amp; West</v>
      </c>
      <c r="C1" s="65"/>
      <c r="AH1" s="511"/>
    </row>
    <row r="2" ht="14.25">
      <c r="A2" s="216" t="s">
        <v>150</v>
      </c>
    </row>
    <row r="3" spans="3:32" ht="14.25">
      <c r="C3" s="63" t="s">
        <v>783</v>
      </c>
      <c r="E3" s="66" t="e">
        <f>EOMONTH(StartDate,E4*12)</f>
        <v>#NAME?</v>
      </c>
      <c r="F3" s="66" t="e">
        <f>EOMONTH(StartDate,F4*12)</f>
        <v>#NAME?</v>
      </c>
      <c r="G3" s="66" t="e">
        <f>EOMONTH(StartDate,G4*12)</f>
        <v>#NAME?</v>
      </c>
      <c r="H3" s="66" t="e">
        <f>EOMONTH(StartDate,H4*12)</f>
        <v>#NAME?</v>
      </c>
      <c r="I3" s="66" t="e">
        <f>EOMONTH(StartDate,I4*12)</f>
        <v>#NAME?</v>
      </c>
      <c r="J3" s="66" t="e">
        <f>EOMONTH(StartDate,J4*12)</f>
        <v>#NAME?</v>
      </c>
      <c r="K3" s="66" t="e">
        <f>EOMONTH(StartDate,K4*12)</f>
        <v>#NAME?</v>
      </c>
      <c r="L3" s="66" t="e">
        <f>EOMONTH(StartDate,L4*12)</f>
        <v>#NAME?</v>
      </c>
      <c r="M3" s="508"/>
      <c r="N3" s="508"/>
      <c r="O3" s="508"/>
      <c r="P3" s="508"/>
      <c r="Q3" s="508"/>
      <c r="R3" s="508"/>
      <c r="S3" s="508"/>
      <c r="T3" s="508"/>
      <c r="U3" s="508"/>
      <c r="V3" s="508"/>
      <c r="W3" s="508"/>
      <c r="X3" s="508"/>
      <c r="Y3" s="508"/>
      <c r="Z3" s="508"/>
      <c r="AA3" s="508"/>
      <c r="AB3" s="508"/>
      <c r="AC3" s="508"/>
      <c r="AD3" s="508"/>
      <c r="AE3" s="508"/>
      <c r="AF3" s="508"/>
    </row>
    <row r="4" spans="1:12" ht="14.25">
      <c r="A4" s="100"/>
      <c r="B4" s="67"/>
      <c r="C4" s="67" t="s">
        <v>82</v>
      </c>
      <c r="D4" s="67"/>
      <c r="E4" s="68">
        <f>Input!E4</f>
        <v>4</v>
      </c>
      <c r="F4" s="68">
        <f aca="true" t="shared" si="0" ref="F4:L4">E4+1</f>
        <v>5</v>
      </c>
      <c r="G4" s="68">
        <f t="shared" si="0"/>
        <v>6</v>
      </c>
      <c r="H4" s="68">
        <f t="shared" si="0"/>
        <v>7</v>
      </c>
      <c r="I4" s="68">
        <f t="shared" si="0"/>
        <v>8</v>
      </c>
      <c r="J4" s="68">
        <f t="shared" si="0"/>
        <v>9</v>
      </c>
      <c r="K4" s="68">
        <f t="shared" si="0"/>
        <v>10</v>
      </c>
      <c r="L4" s="68">
        <f t="shared" si="0"/>
        <v>11</v>
      </c>
    </row>
    <row r="5" spans="1:12" ht="14.25">
      <c r="A5" s="98"/>
      <c r="B5" s="129"/>
      <c r="C5" s="129"/>
      <c r="D5" s="129"/>
      <c r="E5" s="129"/>
      <c r="F5" s="129"/>
      <c r="G5" s="129"/>
      <c r="H5" s="129"/>
      <c r="I5" s="129"/>
      <c r="J5" s="129"/>
      <c r="K5" s="129"/>
      <c r="L5" s="129"/>
    </row>
    <row r="6" spans="1:251" ht="14.25">
      <c r="A6" s="487"/>
      <c r="C6" s="129" t="s">
        <v>415</v>
      </c>
      <c r="D6" s="129"/>
      <c r="E6" s="207">
        <f>+'P&amp;L'!E6*RPI2000allnom/RPI00to05</f>
        <v>233.398542973836</v>
      </c>
      <c r="F6" s="207">
        <f>+'P&amp;L'!F6*RPI2000allnom/RPI00to05</f>
        <v>235.57302385971383</v>
      </c>
      <c r="G6" s="207">
        <f>+'P&amp;L'!G6*RPI2000allnom/RPI00to05</f>
        <v>264.7553571970481</v>
      </c>
      <c r="H6" s="207">
        <f>+'P&amp;L'!H6*RPI2000allnom/RPI00to05</f>
        <v>272.604399688859</v>
      </c>
      <c r="I6" s="207">
        <f>+'P&amp;L'!I6*RPI2000allnom/RPI00to05</f>
        <v>290.45721941757984</v>
      </c>
      <c r="J6" s="207">
        <f>+'P&amp;L'!J6*RPI2000allnom/RPI00to05</f>
        <v>297.8065896045091</v>
      </c>
      <c r="K6" s="207">
        <f>+'P&amp;L'!K6*RPI2000allnom/RPI00to05</f>
        <v>308.53585421648404</v>
      </c>
      <c r="L6" s="207">
        <f>+'P&amp;L'!L6*RPI2000allnom/RPI00to05</f>
        <v>317.74152837196914</v>
      </c>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60"/>
      <c r="FG6" s="260"/>
      <c r="FH6" s="260"/>
      <c r="FI6" s="260"/>
      <c r="FJ6" s="260"/>
      <c r="FK6" s="260"/>
      <c r="FL6" s="260"/>
      <c r="FM6" s="260"/>
      <c r="FN6" s="260"/>
      <c r="FO6" s="260"/>
      <c r="FP6" s="260"/>
      <c r="FQ6" s="260"/>
      <c r="FR6" s="260"/>
      <c r="FS6" s="260"/>
      <c r="FT6" s="260"/>
      <c r="FU6" s="260"/>
      <c r="FV6" s="260"/>
      <c r="FW6" s="260"/>
      <c r="FX6" s="260"/>
      <c r="FY6" s="260"/>
      <c r="FZ6" s="260"/>
      <c r="GA6" s="260"/>
      <c r="GB6" s="260"/>
      <c r="GC6" s="260"/>
      <c r="GD6" s="260"/>
      <c r="GE6" s="260"/>
      <c r="GF6" s="260"/>
      <c r="GG6" s="260"/>
      <c r="GH6" s="260"/>
      <c r="GI6" s="260"/>
      <c r="GJ6" s="260"/>
      <c r="GK6" s="260"/>
      <c r="GL6" s="260"/>
      <c r="GM6" s="260"/>
      <c r="GN6" s="260"/>
      <c r="GO6" s="260"/>
      <c r="GP6" s="260"/>
      <c r="GQ6" s="260"/>
      <c r="GR6" s="260"/>
      <c r="GS6" s="260"/>
      <c r="GT6" s="260"/>
      <c r="GU6" s="260"/>
      <c r="GV6" s="260"/>
      <c r="GW6" s="260"/>
      <c r="GX6" s="260"/>
      <c r="GY6" s="260"/>
      <c r="GZ6" s="260"/>
      <c r="HA6" s="260"/>
      <c r="HB6" s="260"/>
      <c r="HC6" s="260"/>
      <c r="HD6" s="260"/>
      <c r="HE6" s="260"/>
      <c r="HF6" s="260"/>
      <c r="HG6" s="260"/>
      <c r="HH6" s="260"/>
      <c r="HI6" s="260"/>
      <c r="HJ6" s="260"/>
      <c r="HK6" s="260"/>
      <c r="HL6" s="260"/>
      <c r="HM6" s="260"/>
      <c r="HN6" s="260"/>
      <c r="HO6" s="260"/>
      <c r="HP6" s="260"/>
      <c r="HQ6" s="260"/>
      <c r="HR6" s="260"/>
      <c r="HS6" s="260"/>
      <c r="HT6" s="260"/>
      <c r="HU6" s="260"/>
      <c r="HV6" s="260"/>
      <c r="HW6" s="260"/>
      <c r="HX6" s="260"/>
      <c r="HY6" s="260"/>
      <c r="HZ6" s="260"/>
      <c r="IA6" s="260"/>
      <c r="IB6" s="260"/>
      <c r="IC6" s="260"/>
      <c r="ID6" s="260"/>
      <c r="IE6" s="260"/>
      <c r="IF6" s="260"/>
      <c r="IG6" s="260"/>
      <c r="IH6" s="260"/>
      <c r="II6" s="260"/>
      <c r="IJ6" s="260"/>
      <c r="IK6" s="260"/>
      <c r="IL6" s="260"/>
      <c r="IM6" s="260"/>
      <c r="IN6" s="260"/>
      <c r="IO6" s="260"/>
      <c r="IP6" s="260"/>
      <c r="IQ6" s="260"/>
    </row>
    <row r="7" spans="1:251" ht="14.25">
      <c r="A7" s="488"/>
      <c r="C7" s="63" t="s">
        <v>416</v>
      </c>
      <c r="E7" s="207">
        <f>+'P&amp;L'!E7*RPI2000allnom/RPI00to05</f>
        <v>11.893</v>
      </c>
      <c r="F7" s="207">
        <f>+'P&amp;L'!F7*RPI2000allnom/RPI00to05</f>
        <v>9.245877060787832</v>
      </c>
      <c r="G7" s="207">
        <f>+'P&amp;L'!G7*RPI2000allnom/RPI00to05</f>
        <v>6.9984075116482565</v>
      </c>
      <c r="H7" s="207">
        <f>+'P&amp;L'!H7*RPI2000allnom/RPI00to05</f>
        <v>7.28679132653004</v>
      </c>
      <c r="I7" s="207">
        <f>+'P&amp;L'!I7*RPI2000allnom/RPI00to05</f>
        <v>7.5874506106287845</v>
      </c>
      <c r="J7" s="207">
        <f>+'P&amp;L'!J7*RPI2000allnom/RPI00to05</f>
        <v>7.900919402667988</v>
      </c>
      <c r="K7" s="207">
        <f>+'P&amp;L'!K7*RPI2000allnom/RPI00to05</f>
        <v>8.227755309834267</v>
      </c>
      <c r="L7" s="207">
        <f>+'P&amp;L'!L7*RPI2000allnom/RPI00to05</f>
        <v>8.568540557728257</v>
      </c>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c r="IL7" s="260"/>
      <c r="IM7" s="260"/>
      <c r="IN7" s="260"/>
      <c r="IO7" s="260"/>
      <c r="IP7" s="260"/>
      <c r="IQ7" s="260"/>
    </row>
    <row r="8" spans="2:251" ht="14.25">
      <c r="B8" s="122" t="s">
        <v>785</v>
      </c>
      <c r="E8" s="207">
        <f>+'P&amp;L'!E8*RPI2000allnom/RPI00to05</f>
        <v>245.291542973836</v>
      </c>
      <c r="F8" s="207">
        <f>+'P&amp;L'!F8*RPI2000allnom/RPI00to05</f>
        <v>244.81890092050162</v>
      </c>
      <c r="G8" s="207">
        <f>+'P&amp;L'!G8*RPI2000allnom/RPI00to05</f>
        <v>271.75376470869634</v>
      </c>
      <c r="H8" s="207">
        <f>+'P&amp;L'!H8*RPI2000allnom/RPI00to05</f>
        <v>279.89119101538904</v>
      </c>
      <c r="I8" s="207">
        <f>+'P&amp;L'!I8*RPI2000allnom/RPI00to05</f>
        <v>298.0446700282086</v>
      </c>
      <c r="J8" s="207">
        <f>+'P&amp;L'!J8*RPI2000allnom/RPI00to05</f>
        <v>305.7075090071771</v>
      </c>
      <c r="K8" s="207">
        <f>+'P&amp;L'!K8*RPI2000allnom/RPI00to05</f>
        <v>316.7636095263183</v>
      </c>
      <c r="L8" s="207">
        <f>+'P&amp;L'!L8*RPI2000allnom/RPI00to05</f>
        <v>326.3100689296975</v>
      </c>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c r="IO8" s="260"/>
      <c r="IP8" s="260"/>
      <c r="IQ8" s="260"/>
    </row>
    <row r="9" spans="2:32" ht="14.25">
      <c r="B9" s="122"/>
      <c r="C9" s="63" t="s">
        <v>66</v>
      </c>
      <c r="E9" s="208">
        <f>+'P&amp;L'!E9*RPI2000allnom/RPI00to05</f>
        <v>-84.05889398607405</v>
      </c>
      <c r="F9" s="208">
        <f>+'P&amp;L'!F9*RPI2000allnom/RPI00to05</f>
        <v>-83.11495100900554</v>
      </c>
      <c r="G9" s="208">
        <f>+'P&amp;L'!G9*RPI2000allnom/RPI00to05</f>
        <v>-99.29734631063597</v>
      </c>
      <c r="H9" s="208">
        <f>+'P&amp;L'!H9*RPI2000allnom/RPI00to05</f>
        <v>-96.92373437337486</v>
      </c>
      <c r="I9" s="208">
        <f>+'P&amp;L'!I9*RPI2000allnom/RPI00to05</f>
        <v>-99.44636100539874</v>
      </c>
      <c r="J9" s="208">
        <f>+'P&amp;L'!J9*RPI2000allnom/RPI00to05</f>
        <v>-99.3970925967446</v>
      </c>
      <c r="K9" s="208">
        <f>+'P&amp;L'!K9*RPI2000allnom/RPI00to05</f>
        <v>-99.98097730108816</v>
      </c>
      <c r="L9" s="208">
        <f>+'P&amp;L'!L9*RPI2000allnom/RPI00to05</f>
        <v>-100.43634470759788</v>
      </c>
      <c r="M9" s="260"/>
      <c r="N9" s="260"/>
      <c r="O9" s="260"/>
      <c r="P9" s="260"/>
      <c r="Q9" s="260"/>
      <c r="R9" s="260"/>
      <c r="S9" s="260"/>
      <c r="T9" s="260"/>
      <c r="U9" s="260"/>
      <c r="V9" s="260"/>
      <c r="W9" s="260"/>
      <c r="X9" s="260"/>
      <c r="Y9" s="260"/>
      <c r="Z9" s="260"/>
      <c r="AA9" s="260"/>
      <c r="AB9" s="260"/>
      <c r="AC9" s="260"/>
      <c r="AD9" s="260"/>
      <c r="AE9" s="260"/>
      <c r="AF9" s="260"/>
    </row>
    <row r="10" spans="2:32" ht="14.25">
      <c r="B10" s="122"/>
      <c r="C10" s="63" t="s">
        <v>603</v>
      </c>
      <c r="E10" s="208">
        <f>+'P&amp;L'!E10*RPI2000allnom/RPI00to05</f>
        <v>-41.73181131075062</v>
      </c>
      <c r="F10" s="208">
        <f>+'P&amp;L'!F10*RPI2000allnom/RPI00to05</f>
        <v>-39.17096805054571</v>
      </c>
      <c r="G10" s="208">
        <f>+'P&amp;L'!G10*RPI2000allnom/RPI00to05</f>
        <v>-56.671650760145226</v>
      </c>
      <c r="H10" s="208">
        <f>+'P&amp;L'!H10*RPI2000allnom/RPI00to05</f>
        <v>-71.30137500762015</v>
      </c>
      <c r="I10" s="208">
        <f>+'P&amp;L'!I10*RPI2000allnom/RPI00to05</f>
        <v>-84.69589025745337</v>
      </c>
      <c r="J10" s="208">
        <f>+'P&amp;L'!J10*RPI2000allnom/RPI00to05</f>
        <v>-82.09120373865954</v>
      </c>
      <c r="K10" s="208">
        <f>+'P&amp;L'!K10*RPI2000allnom/RPI00to05</f>
        <v>-84.29850901122526</v>
      </c>
      <c r="L10" s="208">
        <f>+'P&amp;L'!L10*RPI2000allnom/RPI00to05</f>
        <v>-84.59628889233696</v>
      </c>
      <c r="M10" s="260"/>
      <c r="N10" s="260"/>
      <c r="O10" s="260"/>
      <c r="P10" s="260"/>
      <c r="Q10" s="260"/>
      <c r="R10" s="260"/>
      <c r="S10" s="260"/>
      <c r="T10" s="260"/>
      <c r="U10" s="260"/>
      <c r="V10" s="260"/>
      <c r="W10" s="260"/>
      <c r="X10" s="260"/>
      <c r="Y10" s="260"/>
      <c r="Z10" s="260"/>
      <c r="AA10" s="260"/>
      <c r="AB10" s="260"/>
      <c r="AC10" s="260"/>
      <c r="AD10" s="260"/>
      <c r="AE10" s="260"/>
      <c r="AF10" s="260"/>
    </row>
    <row r="11" spans="2:32" ht="14.25">
      <c r="B11" s="122"/>
      <c r="C11" s="63" t="s">
        <v>67</v>
      </c>
      <c r="E11" s="208">
        <f>+'P&amp;L'!E11*RPI2000allnom/RPI00to05</f>
        <v>-19.931773206407627</v>
      </c>
      <c r="F11" s="208">
        <f>+'P&amp;L'!F11*RPI2000allnom/RPI00to05</f>
        <v>-21.59674890479998</v>
      </c>
      <c r="G11" s="208">
        <f>+'P&amp;L'!G11*RPI2000allnom/RPI00to05</f>
        <v>-26.316186411890246</v>
      </c>
      <c r="H11" s="208">
        <f>+'P&amp;L'!H11*RPI2000allnom/RPI00to05</f>
        <v>-26.90099503689024</v>
      </c>
      <c r="I11" s="208">
        <f>+'P&amp;L'!I11*RPI2000allnom/RPI00to05</f>
        <v>-27.50042387751524</v>
      </c>
      <c r="J11" s="208">
        <f>+'P&amp;L'!J11*RPI2000allnom/RPI00to05</f>
        <v>-28.11483843915586</v>
      </c>
      <c r="K11" s="208">
        <f>+'P&amp;L'!K11*RPI2000allnom/RPI00to05</f>
        <v>-28.7446133648375</v>
      </c>
      <c r="L11" s="208">
        <f>+'P&amp;L'!L11*RPI2000allnom/RPI00to05</f>
        <v>-29.39013266366118</v>
      </c>
      <c r="M11" s="260"/>
      <c r="N11" s="260"/>
      <c r="O11" s="260"/>
      <c r="P11" s="260"/>
      <c r="Q11" s="260"/>
      <c r="R11" s="260"/>
      <c r="S11" s="260"/>
      <c r="T11" s="260"/>
      <c r="U11" s="260"/>
      <c r="V11" s="260"/>
      <c r="W11" s="260"/>
      <c r="X11" s="260"/>
      <c r="Y11" s="260"/>
      <c r="Z11" s="260"/>
      <c r="AA11" s="260"/>
      <c r="AB11" s="260"/>
      <c r="AC11" s="260"/>
      <c r="AD11" s="260"/>
      <c r="AE11" s="260"/>
      <c r="AF11" s="260"/>
    </row>
    <row r="12" spans="2:32" ht="14.25">
      <c r="B12" s="122"/>
      <c r="C12" s="63" t="s">
        <v>417</v>
      </c>
      <c r="E12" s="208">
        <f>+'P&amp;L'!E12*RPI2000allnom/RPI00to05</f>
        <v>-11.893</v>
      </c>
      <c r="F12" s="208">
        <f>+'P&amp;L'!F12*RPI2000allnom/RPI00to05</f>
        <v>-9.245877060787832</v>
      </c>
      <c r="G12" s="208">
        <f>+'P&amp;L'!G12*RPI2000allnom/RPI00to05</f>
        <v>-6.9984075116482565</v>
      </c>
      <c r="H12" s="208">
        <f>+'P&amp;L'!H12*RPI2000allnom/RPI00to05</f>
        <v>-7.28679132653004</v>
      </c>
      <c r="I12" s="208">
        <f>+'P&amp;L'!I12*RPI2000allnom/RPI00to05</f>
        <v>-7.5874506106287845</v>
      </c>
      <c r="J12" s="208">
        <f>+'P&amp;L'!J12*RPI2000allnom/RPI00to05</f>
        <v>-7.900919402667988</v>
      </c>
      <c r="K12" s="208">
        <f>+'P&amp;L'!K12*RPI2000allnom/RPI00to05</f>
        <v>-8.227755309834267</v>
      </c>
      <c r="L12" s="208">
        <f>+'P&amp;L'!L12*RPI2000allnom/RPI00to05</f>
        <v>-8.568540557728257</v>
      </c>
      <c r="M12" s="260"/>
      <c r="N12" s="260"/>
      <c r="O12" s="260"/>
      <c r="P12" s="260"/>
      <c r="Q12" s="260"/>
      <c r="R12" s="260"/>
      <c r="S12" s="260"/>
      <c r="T12" s="260"/>
      <c r="U12" s="260"/>
      <c r="V12" s="260"/>
      <c r="W12" s="260"/>
      <c r="X12" s="260"/>
      <c r="Y12" s="260"/>
      <c r="Z12" s="260"/>
      <c r="AA12" s="260"/>
      <c r="AB12" s="260"/>
      <c r="AC12" s="260"/>
      <c r="AD12" s="260"/>
      <c r="AE12" s="260"/>
      <c r="AF12" s="260"/>
    </row>
    <row r="13" spans="3:32" ht="14.25">
      <c r="C13" s="71" t="s">
        <v>786</v>
      </c>
      <c r="E13" s="208">
        <f>+'P&amp;L'!E13*RPI2000allnom/RPI00to05</f>
        <v>-38.3</v>
      </c>
      <c r="F13" s="208">
        <f>+'P&amp;L'!F13*RPI2000allnom/RPI00to05</f>
        <v>-46.12499999999999</v>
      </c>
      <c r="G13" s="208">
        <f>+'P&amp;L'!G13*RPI2000allnom/RPI00to05</f>
        <v>-48.433812499999995</v>
      </c>
      <c r="H13" s="208">
        <f>+'P&amp;L'!H13*RPI2000allnom/RPI00to05</f>
        <v>-57.8290265625</v>
      </c>
      <c r="I13" s="208">
        <f>+'P&amp;L'!I13*RPI2000allnom/RPI00to05</f>
        <v>-59.27475222656249</v>
      </c>
      <c r="J13" s="208">
        <f>+'P&amp;L'!J13*RPI2000allnom/RPI00to05</f>
        <v>-60.756621032226555</v>
      </c>
      <c r="K13" s="208">
        <f>+'P&amp;L'!K13*RPI2000allnom/RPI00to05</f>
        <v>-62.275536558032194</v>
      </c>
      <c r="L13" s="208">
        <f>+'P&amp;L'!L13*RPI2000allnom/RPI00to05</f>
        <v>-63.832424971983</v>
      </c>
      <c r="M13" s="260"/>
      <c r="N13" s="260"/>
      <c r="O13" s="260"/>
      <c r="P13" s="260"/>
      <c r="Q13" s="260"/>
      <c r="R13" s="260"/>
      <c r="S13" s="260"/>
      <c r="T13" s="260"/>
      <c r="U13" s="260"/>
      <c r="V13" s="260"/>
      <c r="W13" s="260"/>
      <c r="X13" s="260"/>
      <c r="Y13" s="260"/>
      <c r="Z13" s="260"/>
      <c r="AA13" s="260"/>
      <c r="AB13" s="260"/>
      <c r="AC13" s="260"/>
      <c r="AD13" s="260"/>
      <c r="AE13" s="260"/>
      <c r="AF13" s="260"/>
    </row>
    <row r="14" spans="3:33" ht="14.25">
      <c r="C14" s="71" t="s">
        <v>656</v>
      </c>
      <c r="E14" s="209">
        <f>IF(E4=4,Input!E140,Input!E140-Input!D140)</f>
        <v>0</v>
      </c>
      <c r="F14" s="209">
        <f>IF(F4=4,Input!F140,Input!F140-Input!E140)</f>
        <v>0</v>
      </c>
      <c r="G14" s="209">
        <f>IF(G4=4,Input!G140,Input!G140-Input!F140)</f>
        <v>0</v>
      </c>
      <c r="H14" s="209">
        <f>IF(H4=4,Input!H140,Input!H140-Input!G140)</f>
        <v>0</v>
      </c>
      <c r="I14" s="209">
        <f>IF(I4=4,Input!I140,Input!I140-Input!H140)</f>
        <v>0</v>
      </c>
      <c r="J14" s="209">
        <f>IF(J4=4,Input!J140,Input!J140-Input!I140)</f>
        <v>0</v>
      </c>
      <c r="K14" s="209">
        <f>IF(K4=4,Input!K140,Input!K140-Input!J140)</f>
        <v>0</v>
      </c>
      <c r="L14" s="209">
        <f>IF(L4=4,Input!L140,Input!L140-Input!K140)</f>
        <v>0</v>
      </c>
      <c r="M14" s="260"/>
      <c r="N14" s="260"/>
      <c r="O14" s="260"/>
      <c r="P14" s="260"/>
      <c r="Q14" s="260"/>
      <c r="R14" s="260"/>
      <c r="S14" s="260"/>
      <c r="T14" s="260"/>
      <c r="U14" s="260"/>
      <c r="V14" s="260"/>
      <c r="W14" s="260"/>
      <c r="X14" s="260"/>
      <c r="Y14" s="260"/>
      <c r="Z14" s="260"/>
      <c r="AA14" s="260"/>
      <c r="AB14" s="260"/>
      <c r="AC14" s="260"/>
      <c r="AD14" s="260"/>
      <c r="AE14" s="260"/>
      <c r="AF14" s="260"/>
      <c r="AG14" s="260"/>
    </row>
    <row r="15" spans="2:32" ht="14.25">
      <c r="B15" s="69" t="s">
        <v>792</v>
      </c>
      <c r="C15" s="71"/>
      <c r="E15" s="207">
        <f aca="true" t="shared" si="1" ref="E15:L15">+SUM(E8:E14)</f>
        <v>49.37606447060368</v>
      </c>
      <c r="F15" s="207">
        <f t="shared" si="1"/>
        <v>45.56535589536255</v>
      </c>
      <c r="G15" s="207">
        <f t="shared" si="1"/>
        <v>34.03636121437663</v>
      </c>
      <c r="H15" s="207">
        <f t="shared" si="1"/>
        <v>19.649268708473763</v>
      </c>
      <c r="I15" s="207">
        <f t="shared" si="1"/>
        <v>19.539792050649986</v>
      </c>
      <c r="J15" s="207">
        <f t="shared" si="1"/>
        <v>27.446833797722597</v>
      </c>
      <c r="K15" s="207">
        <f t="shared" si="1"/>
        <v>33.23621798130092</v>
      </c>
      <c r="L15" s="207">
        <f t="shared" si="1"/>
        <v>39.48633713639022</v>
      </c>
      <c r="M15" s="260"/>
      <c r="N15" s="260"/>
      <c r="O15" s="260"/>
      <c r="P15" s="260"/>
      <c r="Q15" s="260"/>
      <c r="R15" s="260"/>
      <c r="S15" s="260"/>
      <c r="T15" s="260"/>
      <c r="U15" s="260"/>
      <c r="V15" s="260"/>
      <c r="W15" s="260"/>
      <c r="X15" s="260"/>
      <c r="Y15" s="260"/>
      <c r="Z15" s="260"/>
      <c r="AA15" s="260"/>
      <c r="AB15" s="260"/>
      <c r="AC15" s="260"/>
      <c r="AD15" s="260"/>
      <c r="AE15" s="260"/>
      <c r="AF15" s="260"/>
    </row>
    <row r="16" spans="3:32" ht="14.25">
      <c r="C16" s="71" t="s">
        <v>713</v>
      </c>
      <c r="E16" s="208">
        <f>+Input!E172</f>
        <v>0</v>
      </c>
      <c r="F16" s="208">
        <f>+Input!F172</f>
        <v>0</v>
      </c>
      <c r="G16" s="208">
        <f>+Input!G172</f>
        <v>0</v>
      </c>
      <c r="H16" s="208">
        <f>+Input!H172</f>
        <v>0</v>
      </c>
      <c r="I16" s="208">
        <f>+Input!I172</f>
        <v>0</v>
      </c>
      <c r="J16" s="208">
        <f>+Input!J172</f>
        <v>0</v>
      </c>
      <c r="K16" s="208">
        <f>+Input!K172</f>
        <v>0</v>
      </c>
      <c r="L16" s="208">
        <f>+Input!L172</f>
        <v>0</v>
      </c>
      <c r="M16" s="260"/>
      <c r="N16" s="260"/>
      <c r="O16" s="260"/>
      <c r="P16" s="260"/>
      <c r="Q16" s="260"/>
      <c r="R16" s="260"/>
      <c r="S16" s="260"/>
      <c r="T16" s="260"/>
      <c r="U16" s="260"/>
      <c r="V16" s="260"/>
      <c r="W16" s="260"/>
      <c r="X16" s="260"/>
      <c r="Y16" s="260"/>
      <c r="Z16" s="260"/>
      <c r="AA16" s="260"/>
      <c r="AB16" s="260"/>
      <c r="AC16" s="260"/>
      <c r="AD16" s="260"/>
      <c r="AE16" s="260"/>
      <c r="AF16" s="260"/>
    </row>
    <row r="17" spans="2:32" ht="14.25">
      <c r="B17" s="122" t="s">
        <v>6</v>
      </c>
      <c r="E17" s="210">
        <f aca="true" t="shared" si="2" ref="E17:L17">+SUM(E15:E16)</f>
        <v>49.37606447060368</v>
      </c>
      <c r="F17" s="210">
        <f t="shared" si="2"/>
        <v>45.56535589536255</v>
      </c>
      <c r="G17" s="210">
        <f t="shared" si="2"/>
        <v>34.03636121437663</v>
      </c>
      <c r="H17" s="210">
        <f t="shared" si="2"/>
        <v>19.649268708473763</v>
      </c>
      <c r="I17" s="210">
        <f t="shared" si="2"/>
        <v>19.539792050649986</v>
      </c>
      <c r="J17" s="210">
        <f t="shared" si="2"/>
        <v>27.446833797722597</v>
      </c>
      <c r="K17" s="210">
        <f t="shared" si="2"/>
        <v>33.23621798130092</v>
      </c>
      <c r="L17" s="210">
        <f t="shared" si="2"/>
        <v>39.48633713639022</v>
      </c>
      <c r="M17" s="260"/>
      <c r="N17" s="260"/>
      <c r="O17" s="260"/>
      <c r="P17" s="260"/>
      <c r="Q17" s="260"/>
      <c r="R17" s="260"/>
      <c r="S17" s="260"/>
      <c r="T17" s="260"/>
      <c r="U17" s="260"/>
      <c r="V17" s="260"/>
      <c r="W17" s="260"/>
      <c r="X17" s="260"/>
      <c r="Y17" s="260"/>
      <c r="Z17" s="260"/>
      <c r="AA17" s="260"/>
      <c r="AB17" s="260"/>
      <c r="AC17" s="260"/>
      <c r="AD17" s="260"/>
      <c r="AE17" s="260"/>
      <c r="AF17" s="260"/>
    </row>
    <row r="18" spans="3:32" ht="14.25">
      <c r="C18" s="121" t="s">
        <v>79</v>
      </c>
      <c r="E18" s="209">
        <f>+'P&amp;L'!E18*RPI2000allnom/RPI00to05</f>
        <v>-52.87537398901619</v>
      </c>
      <c r="F18" s="209">
        <f>+'P&amp;L'!F18*RPI2000allnom/RPI00to05</f>
        <v>-54.68916807496316</v>
      </c>
      <c r="G18" s="209">
        <f>+'P&amp;L'!G18*RPI2000allnom/RPI00to05</f>
        <v>-57.39010951132867</v>
      </c>
      <c r="H18" s="209">
        <f>+'P&amp;L'!H18*RPI2000allnom/RPI00to05</f>
        <v>-51.25117526376614</v>
      </c>
      <c r="I18" s="209">
        <f>+'P&amp;L'!I18*RPI2000allnom/RPI00to05</f>
        <v>-54.72081122400859</v>
      </c>
      <c r="J18" s="209">
        <f>+'P&amp;L'!J18*RPI2000allnom/RPI00to05</f>
        <v>-58.108922600326984</v>
      </c>
      <c r="K18" s="209">
        <f>+'P&amp;L'!K18*RPI2000allnom/RPI00to05</f>
        <v>-60.9505243402092</v>
      </c>
      <c r="L18" s="209">
        <f>+'P&amp;L'!L18*RPI2000allnom/RPI00to05</f>
        <v>-63.58486588267612</v>
      </c>
      <c r="M18" s="260"/>
      <c r="N18" s="260"/>
      <c r="O18" s="260"/>
      <c r="P18" s="260"/>
      <c r="Q18" s="260"/>
      <c r="R18" s="260"/>
      <c r="S18" s="260"/>
      <c r="T18" s="260"/>
      <c r="U18" s="260"/>
      <c r="V18" s="260"/>
      <c r="W18" s="260"/>
      <c r="X18" s="260"/>
      <c r="Y18" s="260"/>
      <c r="Z18" s="260"/>
      <c r="AA18" s="260"/>
      <c r="AB18" s="260"/>
      <c r="AC18" s="260"/>
      <c r="AD18" s="260"/>
      <c r="AE18" s="260"/>
      <c r="AF18" s="260"/>
    </row>
    <row r="19" spans="2:32" ht="14.25">
      <c r="B19" s="122" t="s">
        <v>787</v>
      </c>
      <c r="E19" s="210">
        <f aca="true" t="shared" si="3" ref="E19:L19">+SUM(E17:E18)</f>
        <v>-3.4993095184125096</v>
      </c>
      <c r="F19" s="210">
        <f t="shared" si="3"/>
        <v>-9.123812179600613</v>
      </c>
      <c r="G19" s="210">
        <f t="shared" si="3"/>
        <v>-23.353748296952034</v>
      </c>
      <c r="H19" s="210">
        <f t="shared" si="3"/>
        <v>-31.60190655529238</v>
      </c>
      <c r="I19" s="210">
        <f t="shared" si="3"/>
        <v>-35.18101917335861</v>
      </c>
      <c r="J19" s="210">
        <f t="shared" si="3"/>
        <v>-30.662088802604387</v>
      </c>
      <c r="K19" s="210">
        <f t="shared" si="3"/>
        <v>-27.71430635890828</v>
      </c>
      <c r="L19" s="210">
        <f t="shared" si="3"/>
        <v>-24.0985287462859</v>
      </c>
      <c r="M19" s="260"/>
      <c r="N19" s="260"/>
      <c r="O19" s="260"/>
      <c r="P19" s="260"/>
      <c r="Q19" s="260"/>
      <c r="R19" s="260"/>
      <c r="S19" s="260"/>
      <c r="T19" s="260"/>
      <c r="U19" s="260"/>
      <c r="V19" s="260"/>
      <c r="W19" s="260"/>
      <c r="X19" s="260"/>
      <c r="Y19" s="260"/>
      <c r="Z19" s="260"/>
      <c r="AA19" s="260"/>
      <c r="AB19" s="260"/>
      <c r="AC19" s="260"/>
      <c r="AD19" s="260"/>
      <c r="AE19" s="260"/>
      <c r="AF19" s="260"/>
    </row>
    <row r="20" spans="3:32" ht="14.25">
      <c r="C20" s="121" t="s">
        <v>69</v>
      </c>
      <c r="E20" s="208">
        <f>+'P&amp;L'!E20*RPI2000allnom/RPI00to05</f>
        <v>-2.1733050843657975</v>
      </c>
      <c r="F20" s="208">
        <f>+'P&amp;L'!F20*RPI2000allnom/RPI00to05</f>
        <v>-2.297497309811714</v>
      </c>
      <c r="G20" s="208">
        <f>+'P&amp;L'!G20*RPI2000allnom/RPI00to05</f>
        <v>0</v>
      </c>
      <c r="H20" s="208">
        <f>+'P&amp;L'!H20*RPI2000allnom/RPI00to05</f>
        <v>0</v>
      </c>
      <c r="I20" s="208">
        <f>+'P&amp;L'!I20*RPI2000allnom/RPI00to05</f>
        <v>0</v>
      </c>
      <c r="J20" s="208">
        <f>+'P&amp;L'!J20*RPI2000allnom/RPI00to05</f>
        <v>0</v>
      </c>
      <c r="K20" s="208">
        <f>+'P&amp;L'!K20*RPI2000allnom/RPI00to05</f>
        <v>0</v>
      </c>
      <c r="L20" s="208">
        <f>+'P&amp;L'!L20*RPI2000allnom/RPI00to05</f>
        <v>0</v>
      </c>
      <c r="M20" s="260"/>
      <c r="N20" s="260"/>
      <c r="O20" s="260"/>
      <c r="P20" s="260"/>
      <c r="Q20" s="260"/>
      <c r="R20" s="260"/>
      <c r="S20" s="260"/>
      <c r="T20" s="260"/>
      <c r="U20" s="260"/>
      <c r="V20" s="260"/>
      <c r="W20" s="260"/>
      <c r="X20" s="260"/>
      <c r="Y20" s="260"/>
      <c r="Z20" s="260"/>
      <c r="AA20" s="260"/>
      <c r="AB20" s="260"/>
      <c r="AC20" s="260"/>
      <c r="AD20" s="260"/>
      <c r="AE20" s="260"/>
      <c r="AF20" s="260"/>
    </row>
    <row r="21" spans="3:32" ht="14.25">
      <c r="C21" s="121" t="s">
        <v>596</v>
      </c>
      <c r="E21" s="209">
        <f>+'P&amp;L'!E21*RPI2000allnom/RPI00to05</f>
        <v>3.2230979398895503</v>
      </c>
      <c r="F21" s="209">
        <f>+'P&amp;L'!F21*RPI2000allnom/RPI00to05</f>
        <v>5.034640963691882</v>
      </c>
      <c r="G21" s="209">
        <f>+'P&amp;L'!G21*RPI2000allnom/RPI00to05</f>
        <v>7.0061244890856</v>
      </c>
      <c r="H21" s="209">
        <f>+'P&amp;L'!H21*RPI2000allnom/RPI00to05</f>
        <v>8.84853383548186</v>
      </c>
      <c r="I21" s="209">
        <f>+'P&amp;L'!I21*RPI2000allnom/RPI00to05</f>
        <v>9.850685368540402</v>
      </c>
      <c r="J21" s="209">
        <f>+'P&amp;L'!J21*RPI2000allnom/RPI00to05</f>
        <v>8.585384864729239</v>
      </c>
      <c r="K21" s="209">
        <f>+'P&amp;L'!K21*RPI2000allnom/RPI00to05</f>
        <v>7.760005780494328</v>
      </c>
      <c r="L21" s="209">
        <f>+'P&amp;L'!L21*RPI2000allnom/RPI00to05</f>
        <v>6.747588048960075</v>
      </c>
      <c r="M21" s="260"/>
      <c r="N21" s="260"/>
      <c r="O21" s="260"/>
      <c r="P21" s="260"/>
      <c r="Q21" s="260"/>
      <c r="R21" s="260"/>
      <c r="S21" s="260"/>
      <c r="T21" s="260"/>
      <c r="U21" s="260"/>
      <c r="V21" s="260"/>
      <c r="W21" s="260"/>
      <c r="X21" s="260"/>
      <c r="Y21" s="260"/>
      <c r="Z21" s="260"/>
      <c r="AA21" s="260"/>
      <c r="AB21" s="260"/>
      <c r="AC21" s="260"/>
      <c r="AD21" s="260"/>
      <c r="AE21" s="260"/>
      <c r="AF21" s="260"/>
    </row>
    <row r="22" spans="2:32" ht="14.25">
      <c r="B22" s="122" t="s">
        <v>789</v>
      </c>
      <c r="E22" s="210">
        <f aca="true" t="shared" si="4" ref="E22:L22">+SUM(E19:E21)</f>
        <v>-2.4495166628887564</v>
      </c>
      <c r="F22" s="210">
        <f t="shared" si="4"/>
        <v>-6.386668525720444</v>
      </c>
      <c r="G22" s="210">
        <f t="shared" si="4"/>
        <v>-16.347623807866434</v>
      </c>
      <c r="H22" s="210">
        <f t="shared" si="4"/>
        <v>-22.75337271981052</v>
      </c>
      <c r="I22" s="210">
        <f t="shared" si="4"/>
        <v>-25.330333804818203</v>
      </c>
      <c r="J22" s="210">
        <f t="shared" si="4"/>
        <v>-22.07670393787515</v>
      </c>
      <c r="K22" s="210">
        <f t="shared" si="4"/>
        <v>-19.954300578413953</v>
      </c>
      <c r="L22" s="210">
        <f t="shared" si="4"/>
        <v>-17.350940697325825</v>
      </c>
      <c r="M22" s="260"/>
      <c r="N22" s="260"/>
      <c r="O22" s="260"/>
      <c r="P22" s="260"/>
      <c r="Q22" s="260"/>
      <c r="R22" s="260"/>
      <c r="S22" s="260"/>
      <c r="T22" s="260"/>
      <c r="U22" s="260"/>
      <c r="V22" s="260"/>
      <c r="W22" s="260"/>
      <c r="X22" s="260"/>
      <c r="Y22" s="260"/>
      <c r="Z22" s="260"/>
      <c r="AA22" s="260"/>
      <c r="AB22" s="260"/>
      <c r="AC22" s="260"/>
      <c r="AD22" s="260"/>
      <c r="AE22" s="260"/>
      <c r="AF22" s="260"/>
    </row>
    <row r="23" spans="3:32" ht="14.25">
      <c r="C23" s="121" t="s">
        <v>795</v>
      </c>
      <c r="E23" s="209">
        <f>+'P&amp;L'!E23*RPI2000allnom/RPI00to05</f>
        <v>-15.239544454395858</v>
      </c>
      <c r="F23" s="209">
        <f>+'P&amp;L'!F23*RPI2000allnom/RPI00to05</f>
        <v>-16.062552861178016</v>
      </c>
      <c r="G23" s="209">
        <f>+'P&amp;L'!G23*RPI2000allnom/RPI00to05</f>
        <v>-16.855836359970684</v>
      </c>
      <c r="H23" s="209">
        <f>+'P&amp;L'!H23*RPI2000allnom/RPI00to05</f>
        <v>-17.789664141141966</v>
      </c>
      <c r="I23" s="209">
        <f>+'P&amp;L'!I23*RPI2000allnom/RPI00to05</f>
        <v>-18.86212593853813</v>
      </c>
      <c r="J23" s="209">
        <f>+'P&amp;L'!J23*RPI2000allnom/RPI00to05</f>
        <v>-19.900450504223432</v>
      </c>
      <c r="K23" s="209">
        <f>+'P&amp;L'!K23*RPI2000allnom/RPI00to05</f>
        <v>-21.085987342116493</v>
      </c>
      <c r="L23" s="209">
        <f>+'P&amp;L'!L23*RPI2000allnom/RPI00to05</f>
        <v>-22.392995889908203</v>
      </c>
      <c r="M23" s="260"/>
      <c r="N23" s="260"/>
      <c r="O23" s="260"/>
      <c r="P23" s="260"/>
      <c r="Q23" s="260"/>
      <c r="R23" s="260"/>
      <c r="S23" s="260"/>
      <c r="T23" s="260"/>
      <c r="U23" s="260"/>
      <c r="V23" s="260"/>
      <c r="W23" s="260"/>
      <c r="X23" s="260"/>
      <c r="Y23" s="260"/>
      <c r="Z23" s="260"/>
      <c r="AA23" s="260"/>
      <c r="AB23" s="260"/>
      <c r="AC23" s="260"/>
      <c r="AD23" s="260"/>
      <c r="AE23" s="260"/>
      <c r="AF23" s="260"/>
    </row>
    <row r="24" spans="2:32" ht="15" thickBot="1">
      <c r="B24" s="122" t="s">
        <v>790</v>
      </c>
      <c r="E24" s="212">
        <f aca="true" t="shared" si="5" ref="E24:L24">+E22+E23</f>
        <v>-17.689061117284616</v>
      </c>
      <c r="F24" s="212">
        <f t="shared" si="5"/>
        <v>-22.44922138689846</v>
      </c>
      <c r="G24" s="212">
        <f t="shared" si="5"/>
        <v>-33.20346016783712</v>
      </c>
      <c r="H24" s="212">
        <f t="shared" si="5"/>
        <v>-40.54303686095248</v>
      </c>
      <c r="I24" s="212">
        <f t="shared" si="5"/>
        <v>-44.19245974335634</v>
      </c>
      <c r="J24" s="212">
        <f t="shared" si="5"/>
        <v>-41.97715444209858</v>
      </c>
      <c r="K24" s="212">
        <f t="shared" si="5"/>
        <v>-41.040287920530446</v>
      </c>
      <c r="L24" s="212">
        <f t="shared" si="5"/>
        <v>-39.74393658723403</v>
      </c>
      <c r="M24" s="260"/>
      <c r="N24" s="260"/>
      <c r="O24" s="260"/>
      <c r="P24" s="260"/>
      <c r="Q24" s="260"/>
      <c r="R24" s="260"/>
      <c r="S24" s="260"/>
      <c r="T24" s="260"/>
      <c r="U24" s="260"/>
      <c r="V24" s="260"/>
      <c r="W24" s="260"/>
      <c r="X24" s="260"/>
      <c r="Y24" s="260"/>
      <c r="Z24" s="260"/>
      <c r="AA24" s="260"/>
      <c r="AB24" s="260"/>
      <c r="AC24" s="260"/>
      <c r="AD24" s="260"/>
      <c r="AE24" s="260"/>
      <c r="AF24" s="260"/>
    </row>
    <row r="25" spans="2:32" ht="15" thickTop="1">
      <c r="B25" s="122"/>
      <c r="E25" s="208"/>
      <c r="F25" s="208"/>
      <c r="G25" s="208"/>
      <c r="H25" s="208"/>
      <c r="I25" s="208"/>
      <c r="J25" s="208"/>
      <c r="K25" s="208"/>
      <c r="L25" s="208"/>
      <c r="M25" s="260"/>
      <c r="N25" s="260"/>
      <c r="O25" s="260"/>
      <c r="P25" s="260"/>
      <c r="Q25" s="260"/>
      <c r="R25" s="260"/>
      <c r="S25" s="260"/>
      <c r="T25" s="260"/>
      <c r="U25" s="260"/>
      <c r="V25" s="260"/>
      <c r="W25" s="260"/>
      <c r="X25" s="260"/>
      <c r="Y25" s="260"/>
      <c r="Z25" s="260"/>
      <c r="AA25" s="260"/>
      <c r="AB25" s="260"/>
      <c r="AC25" s="260"/>
      <c r="AD25" s="260"/>
      <c r="AE25" s="260"/>
      <c r="AF25" s="260"/>
    </row>
    <row r="26" spans="5:32" ht="14.25">
      <c r="E26" s="208"/>
      <c r="F26" s="208"/>
      <c r="G26" s="208"/>
      <c r="H26" s="208"/>
      <c r="I26" s="208"/>
      <c r="J26" s="208"/>
      <c r="K26" s="208"/>
      <c r="L26" s="208"/>
      <c r="M26" s="260"/>
      <c r="N26" s="260"/>
      <c r="O26" s="260"/>
      <c r="P26" s="260"/>
      <c r="Q26" s="260"/>
      <c r="R26" s="260"/>
      <c r="S26" s="260"/>
      <c r="T26" s="260"/>
      <c r="U26" s="260"/>
      <c r="V26" s="260"/>
      <c r="W26" s="260"/>
      <c r="X26" s="260"/>
      <c r="Y26" s="260"/>
      <c r="Z26" s="260"/>
      <c r="AA26" s="260"/>
      <c r="AB26" s="260"/>
      <c r="AC26" s="260"/>
      <c r="AD26" s="260"/>
      <c r="AE26" s="260"/>
      <c r="AF26" s="260"/>
    </row>
    <row r="27" spans="1:32" ht="14.25">
      <c r="A27" s="487"/>
      <c r="C27" s="208" t="s">
        <v>151</v>
      </c>
      <c r="E27" s="208"/>
      <c r="F27" s="208"/>
      <c r="G27" s="208"/>
      <c r="H27" s="208"/>
      <c r="I27" s="208"/>
      <c r="J27" s="208"/>
      <c r="K27" s="208"/>
      <c r="L27" s="208"/>
      <c r="M27" s="260"/>
      <c r="N27" s="260"/>
      <c r="O27" s="260"/>
      <c r="P27" s="260"/>
      <c r="Q27" s="260"/>
      <c r="R27" s="260"/>
      <c r="S27" s="260"/>
      <c r="T27" s="260"/>
      <c r="U27" s="260"/>
      <c r="V27" s="260"/>
      <c r="W27" s="260"/>
      <c r="X27" s="260"/>
      <c r="Y27" s="260"/>
      <c r="Z27" s="260"/>
      <c r="AA27" s="260"/>
      <c r="AB27" s="260"/>
      <c r="AC27" s="260"/>
      <c r="AD27" s="260"/>
      <c r="AE27" s="260"/>
      <c r="AF27" s="260"/>
    </row>
    <row r="28" spans="5:6" ht="14.25">
      <c r="E28" s="207"/>
      <c r="F28" s="207"/>
    </row>
    <row r="29" spans="5:7" ht="14.25">
      <c r="E29" s="207"/>
      <c r="F29" s="207"/>
      <c r="G29" s="207"/>
    </row>
    <row r="30" spans="6:7" ht="14.25">
      <c r="F30" s="207"/>
      <c r="G30" s="207"/>
    </row>
    <row r="31" spans="6:7" ht="14.25">
      <c r="F31" s="207"/>
      <c r="G31" s="207"/>
    </row>
    <row r="32" spans="5:7" ht="14.25">
      <c r="E32" s="207"/>
      <c r="F32" s="207"/>
      <c r="G32" s="207"/>
    </row>
    <row r="33" spans="5:7" ht="14.25">
      <c r="E33" s="207"/>
      <c r="F33" s="207"/>
      <c r="G33" s="207"/>
    </row>
    <row r="34" spans="5:7" ht="14.25">
      <c r="E34" s="207"/>
      <c r="F34" s="207"/>
      <c r="G34" s="207"/>
    </row>
    <row r="35" spans="5:7" ht="14.25">
      <c r="E35" s="207"/>
      <c r="F35" s="207"/>
      <c r="G35" s="207"/>
    </row>
    <row r="36" spans="5:7" ht="14.25">
      <c r="E36" s="207"/>
      <c r="F36" s="207"/>
      <c r="G36" s="207"/>
    </row>
    <row r="37" spans="5:7" ht="14.25">
      <c r="E37" s="207"/>
      <c r="F37" s="207"/>
      <c r="G37" s="207"/>
    </row>
    <row r="38" ht="14.25">
      <c r="F38" s="207"/>
    </row>
    <row r="39" ht="14.25">
      <c r="F39" s="207"/>
    </row>
    <row r="40" ht="14.25">
      <c r="F40" s="207"/>
    </row>
    <row r="42" ht="14.25">
      <c r="F42" s="207"/>
    </row>
    <row r="44" ht="14.25">
      <c r="F44" s="207"/>
    </row>
    <row r="45" ht="14.25">
      <c r="F45" s="207"/>
    </row>
    <row r="46" spans="6:7" ht="14.25">
      <c r="F46" s="207"/>
      <c r="G46" s="207"/>
    </row>
    <row r="47" ht="14.25">
      <c r="F47" s="207"/>
    </row>
    <row r="48" spans="6:7" ht="14.25">
      <c r="F48" s="207"/>
      <c r="G48" s="207"/>
    </row>
    <row r="50" ht="14.25">
      <c r="G50" s="207"/>
    </row>
    <row r="51" ht="14.25">
      <c r="G51" s="207"/>
    </row>
    <row r="54" ht="14.25">
      <c r="G54" s="70"/>
    </row>
    <row r="55" ht="14.25">
      <c r="G55" s="207"/>
    </row>
    <row r="57" ht="14.25">
      <c r="G57" s="70"/>
    </row>
    <row r="58" ht="14.25">
      <c r="G58" s="70"/>
    </row>
    <row r="60" ht="14.25">
      <c r="G60" s="207"/>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13">
    <pageSetUpPr fitToPage="1"/>
  </sheetPr>
  <dimension ref="A1:L44"/>
  <sheetViews>
    <sheetView zoomScale="55" zoomScaleNormal="55" workbookViewId="0" topLeftCell="A1">
      <pane xSplit="3" ySplit="4" topLeftCell="D5" activePane="bottomRight" state="frozen"/>
      <selection pane="topLeft" activeCell="G23" sqref="G23"/>
      <selection pane="topRight" activeCell="G23" sqref="G23"/>
      <selection pane="bottomLeft" activeCell="G23" sqref="G23"/>
      <selection pane="bottomRight" activeCell="A1" sqref="A1"/>
    </sheetView>
  </sheetViews>
  <sheetFormatPr defaultColWidth="9.00390625" defaultRowHeight="15"/>
  <cols>
    <col min="1" max="1" width="2.625" style="71" customWidth="1"/>
    <col min="2" max="2" width="2.625" style="63" customWidth="1"/>
    <col min="3" max="3" width="48.00390625" style="63" customWidth="1"/>
    <col min="4" max="4" width="2.625" style="63" customWidth="1"/>
    <col min="5" max="6" width="9.00390625" style="63" customWidth="1"/>
    <col min="7" max="12" width="9.625" style="63" customWidth="1"/>
    <col min="13" max="14" width="8.125" style="63" customWidth="1"/>
    <col min="15" max="16" width="2.625" style="63" customWidth="1"/>
    <col min="17" max="16384" width="9.00390625" style="63" customWidth="1"/>
  </cols>
  <sheetData>
    <row r="1" spans="1:3" ht="32.25">
      <c r="A1" s="494" t="str">
        <f>+'GDN data output sheet'!C4</f>
        <v>Wales &amp; West</v>
      </c>
      <c r="C1" s="65"/>
    </row>
    <row r="2" ht="14.25">
      <c r="A2" s="216" t="s">
        <v>150</v>
      </c>
    </row>
    <row r="3" spans="3:12" ht="14.25">
      <c r="C3" s="63" t="s">
        <v>783</v>
      </c>
      <c r="E3" s="66" t="e">
        <f>EOMONTH(StartDate,E4*12)</f>
        <v>#NAME?</v>
      </c>
      <c r="F3" s="66" t="e">
        <f>EOMONTH(StartDate,F4*12)</f>
        <v>#NAME?</v>
      </c>
      <c r="G3" s="66" t="e">
        <f>EOMONTH(StartDate,G4*12)</f>
        <v>#NAME?</v>
      </c>
      <c r="H3" s="66" t="e">
        <f>EOMONTH(StartDate,H4*12)</f>
        <v>#NAME?</v>
      </c>
      <c r="I3" s="66" t="e">
        <f>EOMONTH(StartDate,I4*12)</f>
        <v>#NAME?</v>
      </c>
      <c r="J3" s="66" t="e">
        <f>EOMONTH(StartDate,J4*12)</f>
        <v>#NAME?</v>
      </c>
      <c r="K3" s="66" t="e">
        <f>EOMONTH(StartDate,K4*12)</f>
        <v>#NAME?</v>
      </c>
      <c r="L3" s="66" t="e">
        <f>EOMONTH(StartDate,L4*12)</f>
        <v>#NAME?</v>
      </c>
    </row>
    <row r="4" spans="1:12" ht="14.25">
      <c r="A4" s="100"/>
      <c r="B4" s="67"/>
      <c r="C4" s="67" t="s">
        <v>82</v>
      </c>
      <c r="D4" s="67"/>
      <c r="E4" s="68">
        <f>Input!E4</f>
        <v>4</v>
      </c>
      <c r="F4" s="68">
        <f>E4+1</f>
        <v>5</v>
      </c>
      <c r="G4" s="68">
        <f aca="true" t="shared" si="0" ref="G4:L4">F4+1</f>
        <v>6</v>
      </c>
      <c r="H4" s="68">
        <f t="shared" si="0"/>
        <v>7</v>
      </c>
      <c r="I4" s="68">
        <f t="shared" si="0"/>
        <v>8</v>
      </c>
      <c r="J4" s="68">
        <f t="shared" si="0"/>
        <v>9</v>
      </c>
      <c r="K4" s="68">
        <f t="shared" si="0"/>
        <v>10</v>
      </c>
      <c r="L4" s="68">
        <f t="shared" si="0"/>
        <v>11</v>
      </c>
    </row>
    <row r="5" spans="1:12" ht="14.25">
      <c r="A5" s="98"/>
      <c r="B5" s="129"/>
      <c r="C5" s="129"/>
      <c r="D5" s="129"/>
      <c r="E5" s="129"/>
      <c r="F5" s="129"/>
      <c r="G5" s="129"/>
      <c r="H5" s="129"/>
      <c r="I5" s="129"/>
      <c r="J5" s="129"/>
      <c r="K5" s="129"/>
      <c r="L5" s="129"/>
    </row>
    <row r="6" spans="2:12" ht="14.25">
      <c r="B6" s="71"/>
      <c r="C6" s="217"/>
      <c r="E6" s="150"/>
      <c r="F6" s="150"/>
      <c r="G6" s="150"/>
      <c r="H6" s="150"/>
      <c r="I6" s="150"/>
      <c r="J6" s="150"/>
      <c r="K6" s="150"/>
      <c r="L6" s="150"/>
    </row>
    <row r="7" spans="2:12" ht="14.25">
      <c r="B7" s="69" t="s">
        <v>71</v>
      </c>
      <c r="E7" s="143"/>
      <c r="F7" s="143"/>
      <c r="G7" s="143"/>
      <c r="H7" s="143"/>
      <c r="I7" s="143"/>
      <c r="J7" s="143"/>
      <c r="K7" s="143"/>
      <c r="L7" s="143"/>
    </row>
    <row r="8" spans="3:12" ht="14.25">
      <c r="C8" s="63" t="s">
        <v>787</v>
      </c>
      <c r="E8" s="143">
        <f>+'P&amp;L'!E19</f>
        <v>-3.4993095184125096</v>
      </c>
      <c r="F8" s="143">
        <f>+'P&amp;L'!F19</f>
        <v>-8.901280175220059</v>
      </c>
      <c r="G8" s="143">
        <f>+'P&amp;L'!G19</f>
        <v>-22.228433834100656</v>
      </c>
      <c r="H8" s="143">
        <f>+'P&amp;L'!H19</f>
        <v>-29.345511811185432</v>
      </c>
      <c r="I8" s="143">
        <f>+'P&amp;L'!I19</f>
        <v>-31.87226700481674</v>
      </c>
      <c r="J8" s="143">
        <f>+'P&amp;L'!J19</f>
        <v>-27.100818655245682</v>
      </c>
      <c r="K8" s="143">
        <f>+'P&amp;L'!K19</f>
        <v>-23.897959515555925</v>
      </c>
      <c r="L8" s="143">
        <f>+'P&amp;L'!L19</f>
        <v>-20.27325445090881</v>
      </c>
    </row>
    <row r="9" spans="3:12" ht="14.25">
      <c r="C9" s="134" t="s">
        <v>438</v>
      </c>
      <c r="E9" s="143">
        <f>-'P&amp;L'!E13-'P&amp;L'!E14</f>
        <v>38.3</v>
      </c>
      <c r="F9" s="143">
        <f>-'P&amp;L'!F13-'P&amp;L'!F14</f>
        <v>45</v>
      </c>
      <c r="G9" s="143">
        <f>-'P&amp;L'!G13-'P&amp;L'!G14</f>
        <v>46.1</v>
      </c>
      <c r="H9" s="143">
        <f>-'P&amp;L'!H13-'P&amp;L'!H14</f>
        <v>53.7</v>
      </c>
      <c r="I9" s="143">
        <f>-'P&amp;L'!I13-'P&amp;L'!I14</f>
        <v>53.7</v>
      </c>
      <c r="J9" s="143">
        <f>-'P&amp;L'!J13-'P&amp;L'!J14</f>
        <v>53.7</v>
      </c>
      <c r="K9" s="143">
        <f>-'P&amp;L'!K13-'P&amp;L'!K14</f>
        <v>53.7</v>
      </c>
      <c r="L9" s="143">
        <f>-'P&amp;L'!L13-'P&amp;L'!L14</f>
        <v>53.7</v>
      </c>
    </row>
    <row r="10" spans="3:12" ht="14.25">
      <c r="C10" s="134" t="s">
        <v>439</v>
      </c>
      <c r="E10" s="143">
        <f>Input!E181</f>
        <v>-27.051999999999996</v>
      </c>
      <c r="F10" s="143">
        <f>Input!F181</f>
        <v>-28.01949756097561</v>
      </c>
      <c r="G10" s="143">
        <f>Input!G181</f>
        <v>-25.36956675788221</v>
      </c>
      <c r="H10" s="143">
        <f>Input!H181</f>
        <v>-26.382261894306424</v>
      </c>
      <c r="I10" s="143">
        <f>Input!I181</f>
        <v>-29.767391254642156</v>
      </c>
      <c r="J10" s="143">
        <f>Input!J181</f>
        <v>-30.02389831490978</v>
      </c>
      <c r="K10" s="143">
        <f>Input!K181</f>
        <v>-29.303888725307402</v>
      </c>
      <c r="L10" s="143">
        <f>Input!L181</f>
        <v>-28.467901584998714</v>
      </c>
    </row>
    <row r="11" spans="3:12" ht="14.25">
      <c r="C11" s="63" t="s">
        <v>302</v>
      </c>
      <c r="E11" s="143">
        <f>+IF(E4&lt;5.5,0,-'Pension Allowances'!E7)</f>
        <v>0</v>
      </c>
      <c r="F11" s="143">
        <f>+IF(F4&lt;5.5,0,-'Pension Allowances'!F7)</f>
        <v>0</v>
      </c>
      <c r="G11" s="143">
        <f>+IF(G4&lt;5.5,0,-'Pension Allowances'!G7)</f>
        <v>-5.182100601493819</v>
      </c>
      <c r="H11" s="143">
        <f>+IF(H4&lt;5.5,0,-'Pension Allowances'!H7)</f>
        <v>-5.055707903896409</v>
      </c>
      <c r="I11" s="143">
        <f>+IF(I4&lt;5.5,0,-'Pension Allowances'!I7)</f>
        <v>-4.932397955020887</v>
      </c>
      <c r="J11" s="143">
        <f>+IF(J4&lt;5.5,0,-'Pension Allowances'!J7)</f>
        <v>-4.812095565874037</v>
      </c>
      <c r="K11" s="143">
        <f>+IF(K4&lt;5.5,0,-'Pension Allowances'!K7)</f>
        <v>-4.694727381340525</v>
      </c>
      <c r="L11" s="143">
        <f>+IF(L4&lt;5.5,0,-'Pension Allowances'!L7)</f>
        <v>-4.580221835454171</v>
      </c>
    </row>
    <row r="12" spans="3:12" ht="14.25">
      <c r="C12" s="134" t="s">
        <v>440</v>
      </c>
      <c r="E12" s="143">
        <v>0</v>
      </c>
      <c r="F12" s="143">
        <v>0</v>
      </c>
      <c r="G12" s="143">
        <v>0</v>
      </c>
      <c r="H12" s="143">
        <v>0</v>
      </c>
      <c r="I12" s="143">
        <v>0</v>
      </c>
      <c r="J12" s="143">
        <v>0</v>
      </c>
      <c r="K12" s="143">
        <v>0</v>
      </c>
      <c r="L12" s="143">
        <v>0</v>
      </c>
    </row>
    <row r="13" spans="3:12" ht="14.25">
      <c r="C13" s="134" t="s">
        <v>441</v>
      </c>
      <c r="E13" s="143">
        <f>+IF(E4&lt;6.5,Input!E74*(1-Input!E134)*Input!E134,IF(E4&lt;11.5,Input!E134,D13))</f>
        <v>-0.5043402003681652</v>
      </c>
      <c r="F13" s="143">
        <f>+IF(F4&lt;6.5,Input!F74*(1-Input!F134)*Input!F134,IF(F4&lt;11.5,Input!F134,E13))</f>
        <v>-0.607686296936968</v>
      </c>
      <c r="G13" s="143">
        <f>+IF(G4&lt;6.5,Input!G74*(1-Input!G134)*Input!G134,IF(G4&lt;11.5,Input!G134,F13))</f>
        <v>-2.398930922611296</v>
      </c>
      <c r="H13" s="143">
        <f>+IF(H4&lt;6.5,Input!H74*(1-Input!H134)*Input!H134,IF(H4&lt;11.5,Input!H134,G13))</f>
        <v>-2.389334361624286</v>
      </c>
      <c r="I13" s="143">
        <f>+IF(I4&lt;6.5,Input!I74*(1-Input!I134)*Input!I134,IF(I4&lt;11.5,Input!I134,H13))</f>
        <v>-2.7889220003174033</v>
      </c>
      <c r="J13" s="143">
        <f>+IF(J4&lt;6.5,Input!J74*(1-Input!J134)*Input!J134,IF(J4&lt;11.5,Input!J134,I13))</f>
        <v>-2.367233789872569</v>
      </c>
      <c r="K13" s="143">
        <f>+IF(K4&lt;6.5,Input!K74*(1-Input!K134)*Input!K134,IF(K4&lt;11.5,Input!K134,J13))</f>
        <v>-2.0229707216650974</v>
      </c>
      <c r="L13" s="143">
        <f>+IF(L4&lt;6.5,Input!L74*(1-Input!L134)*Input!L134,IF(L4&lt;11.5,Input!L134,K13))</f>
        <v>-2.052182710818331</v>
      </c>
    </row>
    <row r="14" spans="3:12" ht="14.25">
      <c r="C14" s="134" t="s">
        <v>442</v>
      </c>
      <c r="E14" s="143">
        <f>-'P&amp;L'!E16</f>
        <v>0</v>
      </c>
      <c r="F14" s="143">
        <f>-'P&amp;L'!F16</f>
        <v>0</v>
      </c>
      <c r="G14" s="143">
        <f>-'P&amp;L'!G16</f>
        <v>0</v>
      </c>
      <c r="H14" s="143">
        <f>-'P&amp;L'!H16</f>
        <v>0</v>
      </c>
      <c r="I14" s="143">
        <f>-'P&amp;L'!I16</f>
        <v>0</v>
      </c>
      <c r="J14" s="143">
        <f>-'P&amp;L'!J16</f>
        <v>0</v>
      </c>
      <c r="K14" s="143">
        <f>-'P&amp;L'!K16</f>
        <v>0</v>
      </c>
      <c r="L14" s="143">
        <f>-'P&amp;L'!L16</f>
        <v>0</v>
      </c>
    </row>
    <row r="15" spans="3:12" ht="14.25">
      <c r="C15" s="134" t="s">
        <v>70</v>
      </c>
      <c r="E15" s="146">
        <f aca="true" t="shared" si="1" ref="E15:L15">SUM(E8:E14)</f>
        <v>7.244350281219326</v>
      </c>
      <c r="F15" s="146">
        <f t="shared" si="1"/>
        <v>7.471535966867365</v>
      </c>
      <c r="G15" s="146">
        <f t="shared" si="1"/>
        <v>-9.07903211608798</v>
      </c>
      <c r="H15" s="146">
        <f t="shared" si="1"/>
        <v>-9.472815971012547</v>
      </c>
      <c r="I15" s="146">
        <f t="shared" si="1"/>
        <v>-15.660978214797186</v>
      </c>
      <c r="J15" s="146">
        <f t="shared" si="1"/>
        <v>-10.604046325902065</v>
      </c>
      <c r="K15" s="146">
        <f t="shared" si="1"/>
        <v>-6.219546343868947</v>
      </c>
      <c r="L15" s="146">
        <f t="shared" si="1"/>
        <v>-1.6735605821800212</v>
      </c>
    </row>
    <row r="16" spans="5:12" ht="14.25">
      <c r="E16" s="143"/>
      <c r="F16" s="143"/>
      <c r="G16" s="82">
        <f>+G15/RealRAV!G36</f>
        <v>-0.007427391030116913</v>
      </c>
      <c r="H16" s="143"/>
      <c r="I16" s="143"/>
      <c r="J16" s="143"/>
      <c r="K16" s="143"/>
      <c r="L16" s="143"/>
    </row>
    <row r="17" spans="2:12" ht="14.25">
      <c r="B17" s="69" t="s">
        <v>58</v>
      </c>
      <c r="E17" s="143"/>
      <c r="F17" s="143"/>
      <c r="G17" s="218"/>
      <c r="H17" s="143"/>
      <c r="I17" s="143"/>
      <c r="J17" s="143"/>
      <c r="K17" s="143"/>
      <c r="L17" s="143"/>
    </row>
    <row r="18" spans="3:12" ht="14.25">
      <c r="C18" s="63" t="s">
        <v>59</v>
      </c>
      <c r="E18" s="143">
        <f>-MAX(E15,0)*Input!E59</f>
        <v>-2.1733050843657975</v>
      </c>
      <c r="F18" s="143">
        <f>-MAX(F15,0)*Input!F59</f>
        <v>-2.2414607900602093</v>
      </c>
      <c r="G18" s="143">
        <f>-MAX(G15,0)*Input!G59</f>
        <v>0</v>
      </c>
      <c r="H18" s="143">
        <f>-MAX(H15,0)*Input!H59</f>
        <v>0</v>
      </c>
      <c r="I18" s="143">
        <f>-MAX(I15,0)*Input!I59</f>
        <v>0</v>
      </c>
      <c r="J18" s="143">
        <f>-MAX(J15,0)*Input!J59</f>
        <v>0</v>
      </c>
      <c r="K18" s="143">
        <f>-MAX(K15,0)*Input!K59</f>
        <v>0</v>
      </c>
      <c r="L18" s="143">
        <f>-MAX(L15,0)*Input!L59</f>
        <v>0</v>
      </c>
    </row>
    <row r="19" spans="3:12" ht="14.25">
      <c r="C19" s="63" t="s">
        <v>561</v>
      </c>
      <c r="E19" s="143">
        <f>+E27*Input!E59</f>
        <v>0</v>
      </c>
      <c r="F19" s="143">
        <f>+F27*Input!F59</f>
        <v>0</v>
      </c>
      <c r="G19" s="143">
        <f>+G27*Input!G59</f>
        <v>0</v>
      </c>
      <c r="H19" s="143">
        <f>+H27*Input!H59</f>
        <v>0</v>
      </c>
      <c r="I19" s="143">
        <f>+I27*Input!I59</f>
        <v>0</v>
      </c>
      <c r="J19" s="143">
        <f>+J27*Input!J59</f>
        <v>0</v>
      </c>
      <c r="K19" s="143">
        <f>+K27*Input!K59</f>
        <v>0</v>
      </c>
      <c r="L19" s="143">
        <f>+L27*Input!L59</f>
        <v>0</v>
      </c>
    </row>
    <row r="20" spans="3:12" ht="15" thickBot="1">
      <c r="C20" s="63" t="s">
        <v>58</v>
      </c>
      <c r="E20" s="152">
        <f aca="true" t="shared" si="2" ref="E20:L20">SUM(E18:E19)</f>
        <v>-2.1733050843657975</v>
      </c>
      <c r="F20" s="152">
        <f t="shared" si="2"/>
        <v>-2.2414607900602093</v>
      </c>
      <c r="G20" s="219">
        <f t="shared" si="2"/>
        <v>0</v>
      </c>
      <c r="H20" s="219">
        <f t="shared" si="2"/>
        <v>0</v>
      </c>
      <c r="I20" s="152">
        <f t="shared" si="2"/>
        <v>0</v>
      </c>
      <c r="J20" s="152">
        <f t="shared" si="2"/>
        <v>0</v>
      </c>
      <c r="K20" s="152">
        <f t="shared" si="2"/>
        <v>0</v>
      </c>
      <c r="L20" s="152">
        <f t="shared" si="2"/>
        <v>0</v>
      </c>
    </row>
    <row r="21" spans="5:12" ht="15" thickTop="1">
      <c r="E21" s="150"/>
      <c r="F21" s="150"/>
      <c r="G21" s="150"/>
      <c r="H21" s="150"/>
      <c r="I21" s="150"/>
      <c r="J21" s="150"/>
      <c r="K21" s="150"/>
      <c r="L21" s="150"/>
    </row>
    <row r="22" spans="2:12" ht="14.25">
      <c r="B22" s="69" t="s">
        <v>563</v>
      </c>
      <c r="E22" s="150"/>
      <c r="F22" s="150"/>
      <c r="G22" s="220">
        <f>+Input!G59</f>
        <v>0.3</v>
      </c>
      <c r="H22" s="220">
        <f>+Input!H59</f>
        <v>0.28</v>
      </c>
      <c r="I22" s="220">
        <f>+Input!I59</f>
        <v>0.28</v>
      </c>
      <c r="J22" s="220">
        <f>+Input!J59</f>
        <v>0.28</v>
      </c>
      <c r="K22" s="220">
        <f>+Input!K59</f>
        <v>0.28</v>
      </c>
      <c r="L22" s="220">
        <f>+Input!L59</f>
        <v>0.28</v>
      </c>
    </row>
    <row r="23" spans="5:12" ht="14.25">
      <c r="E23" s="143"/>
      <c r="F23" s="143"/>
      <c r="G23" s="143"/>
      <c r="H23" s="143"/>
      <c r="I23" s="143"/>
      <c r="J23" s="143"/>
      <c r="K23" s="143"/>
      <c r="L23" s="143"/>
    </row>
    <row r="24" spans="2:12" ht="14.25">
      <c r="B24" s="69" t="s">
        <v>556</v>
      </c>
      <c r="E24" s="143"/>
      <c r="F24" s="143"/>
      <c r="G24" s="143"/>
      <c r="H24" s="143"/>
      <c r="I24" s="143"/>
      <c r="J24" s="143"/>
      <c r="K24" s="143"/>
      <c r="L24" s="143"/>
    </row>
    <row r="25" spans="3:12" ht="14.25">
      <c r="C25" s="63" t="s">
        <v>559</v>
      </c>
      <c r="E25" s="143"/>
      <c r="F25" s="143"/>
      <c r="G25" s="401"/>
      <c r="H25" s="401">
        <f>+G28</f>
        <v>0.6391851142678755</v>
      </c>
      <c r="I25" s="401">
        <f>+H28</f>
        <v>10.112001085280422</v>
      </c>
      <c r="J25" s="401">
        <f>+I28</f>
        <v>25.77297930007761</v>
      </c>
      <c r="K25" s="401">
        <f>+J28</f>
        <v>36.37702562597967</v>
      </c>
      <c r="L25" s="401">
        <f>+K28</f>
        <v>42.59657196984862</v>
      </c>
    </row>
    <row r="26" spans="3:12" ht="14.25">
      <c r="C26" s="63" t="s">
        <v>560</v>
      </c>
      <c r="E26" s="143"/>
      <c r="F26" s="143"/>
      <c r="G26" s="401"/>
      <c r="H26" s="401">
        <f>+H15</f>
        <v>-9.472815971012547</v>
      </c>
      <c r="I26" s="401">
        <f>+I15</f>
        <v>-15.660978214797186</v>
      </c>
      <c r="J26" s="401">
        <f>+J15</f>
        <v>-10.604046325902065</v>
      </c>
      <c r="K26" s="401">
        <f>+K15</f>
        <v>-6.219546343868947</v>
      </c>
      <c r="L26" s="401">
        <f>+L15</f>
        <v>-1.6735605821800212</v>
      </c>
    </row>
    <row r="27" spans="3:12" ht="14.25">
      <c r="C27" s="63" t="s">
        <v>558</v>
      </c>
      <c r="G27" s="401"/>
      <c r="H27" s="401">
        <f>+IF(H26&gt;0,MIN(H25,H26),0)</f>
        <v>0</v>
      </c>
      <c r="I27" s="401">
        <f>+IF(I26&gt;0,MIN(I25,I26),0)</f>
        <v>0</v>
      </c>
      <c r="J27" s="401">
        <f>+IF(J26&gt;0,MIN(J25,J26),0)</f>
        <v>0</v>
      </c>
      <c r="K27" s="401">
        <f>+IF(K26&gt;0,MIN(K25,K26),0)</f>
        <v>0</v>
      </c>
      <c r="L27" s="401">
        <f>+IF(L26&gt;0,MIN(L25,L26),0)</f>
        <v>0</v>
      </c>
    </row>
    <row r="28" spans="3:12" ht="15" thickBot="1">
      <c r="C28" s="63" t="s">
        <v>557</v>
      </c>
      <c r="G28" s="402">
        <f>IF(G4=6,IF(Input!G237&lt;0,-Input!G237,0),+G25-G27-IF(G26&lt;0,G26))</f>
        <v>0.6391851142678755</v>
      </c>
      <c r="H28" s="402">
        <f>IF(H4=6,IF(Input!H237&lt;0,-Input!H237,0),+H25-H27-IF(H26&lt;0,H26))</f>
        <v>10.112001085280422</v>
      </c>
      <c r="I28" s="402">
        <f>IF(I4=6,IF(Input!I237&lt;0,-Input!I237,0),+I25-I27-IF(I26&lt;0,I26))</f>
        <v>25.77297930007761</v>
      </c>
      <c r="J28" s="402">
        <f>IF(J4=6,IF(Input!J237&lt;0,-Input!J237,0),+J25-J27-IF(J26&lt;0,J26))</f>
        <v>36.37702562597967</v>
      </c>
      <c r="K28" s="402">
        <f>IF(K4=6,IF(Input!K237&lt;0,-Input!K237,0),+K25-K27-IF(K26&lt;0,K26))</f>
        <v>42.59657196984862</v>
      </c>
      <c r="L28" s="402">
        <f>IF(L4=6,IF(Input!L237&lt;0,-Input!L237,0),+L25-L27-IF(L26&lt;0,L26))</f>
        <v>44.27013255202864</v>
      </c>
    </row>
    <row r="29" spans="7:12" ht="15" thickTop="1">
      <c r="G29" s="401"/>
      <c r="H29" s="401"/>
      <c r="I29" s="401"/>
      <c r="J29" s="401"/>
      <c r="K29" s="401"/>
      <c r="L29" s="401"/>
    </row>
    <row r="30" spans="2:12" ht="14.25">
      <c r="B30" s="69" t="s">
        <v>26</v>
      </c>
      <c r="G30" s="401"/>
      <c r="H30" s="401"/>
      <c r="I30" s="401"/>
      <c r="J30" s="401"/>
      <c r="K30" s="401"/>
      <c r="L30" s="401"/>
    </row>
    <row r="31" spans="3:12" ht="14.25">
      <c r="C31" s="63" t="s">
        <v>567</v>
      </c>
      <c r="G31" s="401">
        <f>(MAX(('Allowed revenue'!G36+'Allowed revenue'!G44+'Allowed revenue'!G24+'Allowed revenue'!G25+'Allowed revenue'!G26+SUM(G10,G12:G14)+'P&amp;L'!G18+'P&amp;L'!G10+'Allowed revenue'!G22+'Allowed revenue'!G40+'Allowed revenue'!G41)*Input!G59,0))</f>
        <v>0</v>
      </c>
      <c r="H31" s="401">
        <f>(MAX(('Allowed revenue'!H36+'Allowed revenue'!H44+'Allowed revenue'!H24+'Allowed revenue'!H25+'Allowed revenue'!H26+SUM(H10,H12:H14)+'P&amp;L'!H18+'P&amp;L'!H10+'Allowed revenue'!H22+'Allowed revenue'!H40+'Allowed revenue'!H41)*Input!H59,0))</f>
        <v>0</v>
      </c>
      <c r="I31" s="401">
        <f>(MAX(('Allowed revenue'!I36+'Allowed revenue'!I44+'Allowed revenue'!I24+'Allowed revenue'!I25+'Allowed revenue'!I26+SUM(I10,I12:I14)+'P&amp;L'!I18+'P&amp;L'!I10+'Allowed revenue'!I22+'Allowed revenue'!I40+'Allowed revenue'!I41)*Input!I59,0))</f>
        <v>0</v>
      </c>
      <c r="J31" s="401">
        <f>(MAX(('Allowed revenue'!J36+'Allowed revenue'!J44+'Allowed revenue'!J24+'Allowed revenue'!J25+'Allowed revenue'!J26+SUM(J10,J12:J14)+'P&amp;L'!J18+'P&amp;L'!J10+'Allowed revenue'!J22+'Allowed revenue'!J40+'Allowed revenue'!J41)*Input!J59,0))</f>
        <v>0</v>
      </c>
      <c r="K31" s="401">
        <f>(MAX(('Allowed revenue'!K36+'Allowed revenue'!K44+'Allowed revenue'!K24+'Allowed revenue'!K25+'Allowed revenue'!K26+SUM(K10,K12:K14)+'P&amp;L'!K18+'P&amp;L'!K10+'Allowed revenue'!K22+'Allowed revenue'!K40+'Allowed revenue'!K41)*Input!K59,0))</f>
        <v>0</v>
      </c>
      <c r="L31" s="401">
        <f>(MAX(('Allowed revenue'!L36+'Allowed revenue'!L44+'Allowed revenue'!L24+'Allowed revenue'!L25+'Allowed revenue'!L26+SUM(L10,L12:L14)+'P&amp;L'!L18+'P&amp;L'!L10+'Allowed revenue'!L22+'Allowed revenue'!L40+'Allowed revenue'!L41)*Input!L59,0))</f>
        <v>0</v>
      </c>
    </row>
    <row r="32" spans="3:12" ht="14.25">
      <c r="C32" s="63" t="s">
        <v>562</v>
      </c>
      <c r="G32" s="403">
        <f aca="true" t="shared" si="3" ref="G32:L32">-IF(F28&gt;0,MIN(F28,G31/G22)*G22)</f>
        <v>0</v>
      </c>
      <c r="H32" s="403">
        <f t="shared" si="3"/>
        <v>0</v>
      </c>
      <c r="I32" s="403">
        <f t="shared" si="3"/>
        <v>0</v>
      </c>
      <c r="J32" s="403">
        <f>-IF(I28&gt;0,MIN(I28,J31/J22)*J22)</f>
        <v>0</v>
      </c>
      <c r="K32" s="403">
        <f t="shared" si="3"/>
        <v>0</v>
      </c>
      <c r="L32" s="403">
        <f t="shared" si="3"/>
        <v>0</v>
      </c>
    </row>
    <row r="33" spans="3:12" ht="14.25">
      <c r="C33" s="63" t="s">
        <v>565</v>
      </c>
      <c r="G33" s="401">
        <f aca="true" t="shared" si="4" ref="G33:L33">+G31+G32</f>
        <v>0</v>
      </c>
      <c r="H33" s="401">
        <f t="shared" si="4"/>
        <v>0</v>
      </c>
      <c r="I33" s="401">
        <f t="shared" si="4"/>
        <v>0</v>
      </c>
      <c r="J33" s="401">
        <f t="shared" si="4"/>
        <v>0</v>
      </c>
      <c r="K33" s="401">
        <f t="shared" si="4"/>
        <v>0</v>
      </c>
      <c r="L33" s="401">
        <f t="shared" si="4"/>
        <v>0</v>
      </c>
    </row>
    <row r="34" spans="3:12" ht="14.25">
      <c r="C34" s="63" t="s">
        <v>566</v>
      </c>
      <c r="G34" s="401">
        <f aca="true" t="shared" si="5" ref="G34:L34">+G33*G22/(1-G22)</f>
        <v>0</v>
      </c>
      <c r="H34" s="401">
        <f t="shared" si="5"/>
        <v>0</v>
      </c>
      <c r="I34" s="401">
        <f t="shared" si="5"/>
        <v>0</v>
      </c>
      <c r="J34" s="401">
        <f t="shared" si="5"/>
        <v>0</v>
      </c>
      <c r="K34" s="401">
        <f t="shared" si="5"/>
        <v>0</v>
      </c>
      <c r="L34" s="401">
        <f t="shared" si="5"/>
        <v>0</v>
      </c>
    </row>
    <row r="35" spans="3:12" ht="15" thickBot="1">
      <c r="C35" s="63" t="s">
        <v>564</v>
      </c>
      <c r="G35" s="402">
        <f aca="true" t="shared" si="6" ref="G35:L35">+G33+G34</f>
        <v>0</v>
      </c>
      <c r="H35" s="402">
        <f t="shared" si="6"/>
        <v>0</v>
      </c>
      <c r="I35" s="402">
        <f t="shared" si="6"/>
        <v>0</v>
      </c>
      <c r="J35" s="402">
        <f t="shared" si="6"/>
        <v>0</v>
      </c>
      <c r="K35" s="402">
        <f t="shared" si="6"/>
        <v>0</v>
      </c>
      <c r="L35" s="402">
        <f t="shared" si="6"/>
        <v>0</v>
      </c>
    </row>
    <row r="36" ht="15" thickTop="1"/>
    <row r="37" spans="7:12" ht="14.25">
      <c r="G37" s="189" t="str">
        <f aca="true" t="shared" si="7" ref="G37:L37">+IF(ABS(G20+G35)&lt;0.05,"ok!","oh no!!!")</f>
        <v>ok!</v>
      </c>
      <c r="H37" s="189" t="str">
        <f t="shared" si="7"/>
        <v>ok!</v>
      </c>
      <c r="I37" s="189" t="str">
        <f t="shared" si="7"/>
        <v>ok!</v>
      </c>
      <c r="J37" s="189" t="str">
        <f t="shared" si="7"/>
        <v>ok!</v>
      </c>
      <c r="K37" s="189" t="str">
        <f t="shared" si="7"/>
        <v>ok!</v>
      </c>
      <c r="L37" s="189" t="str">
        <f t="shared" si="7"/>
        <v>ok!</v>
      </c>
    </row>
    <row r="38" ht="14.25">
      <c r="B38" s="69" t="s">
        <v>732</v>
      </c>
    </row>
    <row r="39" spans="3:12" ht="14.25">
      <c r="C39" s="63" t="s">
        <v>733</v>
      </c>
      <c r="G39" s="172">
        <f>Input!G235</f>
        <v>0</v>
      </c>
      <c r="H39" s="71"/>
      <c r="I39" s="71"/>
      <c r="J39" s="71"/>
      <c r="K39" s="71"/>
      <c r="L39" s="71"/>
    </row>
    <row r="40" spans="3:12" ht="14.25">
      <c r="C40" s="63" t="s">
        <v>504</v>
      </c>
      <c r="G40" s="172">
        <f>Input!G236</f>
        <v>0</v>
      </c>
      <c r="H40" s="71"/>
      <c r="I40" s="71"/>
      <c r="J40" s="71"/>
      <c r="K40" s="71"/>
      <c r="L40" s="71"/>
    </row>
    <row r="41" spans="3:12" ht="14.25">
      <c r="C41" s="63" t="s">
        <v>30</v>
      </c>
      <c r="G41" s="172">
        <f>G40-G39</f>
        <v>0</v>
      </c>
      <c r="H41" s="71"/>
      <c r="I41" s="71"/>
      <c r="J41" s="71"/>
      <c r="K41" s="71"/>
      <c r="L41" s="71"/>
    </row>
    <row r="42" spans="3:12" ht="14.25">
      <c r="C42" s="63" t="s">
        <v>381</v>
      </c>
      <c r="G42" s="172">
        <f>G41/'Allowed revenue'!G16</f>
        <v>0</v>
      </c>
      <c r="H42" s="71"/>
      <c r="I42" s="71"/>
      <c r="J42" s="71"/>
      <c r="K42" s="71"/>
      <c r="L42" s="71"/>
    </row>
    <row r="43" spans="3:12" ht="14.25">
      <c r="C43" s="63" t="s">
        <v>734</v>
      </c>
      <c r="G43" s="71"/>
      <c r="H43" s="178">
        <f>+$G$42/SUM('Allowed revenue'!$H$18:$L$18)</f>
        <v>0</v>
      </c>
      <c r="I43" s="178">
        <f>+$G$42/SUM('Allowed revenue'!$H$18:$L$18)</f>
        <v>0</v>
      </c>
      <c r="J43" s="178">
        <f>+$G$42/SUM('Allowed revenue'!$H$18:$L$18)</f>
        <v>0</v>
      </c>
      <c r="K43" s="178">
        <f>+$G$42/SUM('Allowed revenue'!$H$18:$L$18)</f>
        <v>0</v>
      </c>
      <c r="L43" s="178">
        <f>+$G$42/SUM('Allowed revenue'!$H$18:$L$18)</f>
        <v>0</v>
      </c>
    </row>
    <row r="44" spans="3:12" ht="14.25">
      <c r="C44" s="221" t="s">
        <v>414</v>
      </c>
      <c r="G44" s="71"/>
      <c r="H44" s="178">
        <f>H43/(1+Input!H59)</f>
        <v>0</v>
      </c>
      <c r="I44" s="178">
        <f>I43/(1+Input!I59)</f>
        <v>0</v>
      </c>
      <c r="J44" s="178">
        <f>J43/(1+Input!J59)</f>
        <v>0</v>
      </c>
      <c r="K44" s="178">
        <f>K43/(1+Input!K59)</f>
        <v>0</v>
      </c>
      <c r="L44" s="178">
        <f>L43/(1+Input!L59)</f>
        <v>0</v>
      </c>
    </row>
    <row r="45" ht="14.25"/>
    <row r="46" ht="14.25"/>
    <row r="47" ht="14.25"/>
  </sheetData>
  <hyperlinks>
    <hyperlink ref="A1" location="Input!A1" display="Input!A1"/>
  </hyperlink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91" r:id="rId3"/>
  <headerFooter alignWithMargins="0">
    <oddHeader>&amp;L&amp;F&amp;R&amp;A</oddHeader>
    <oddFooter>&amp;L&amp;D&amp;T&amp;CPage &amp;P of &amp;N</oddFooter>
  </headerFooter>
  <legacyDrawing r:id="rId2"/>
</worksheet>
</file>

<file path=xl/worksheets/sheet23.xml><?xml version="1.0" encoding="utf-8"?>
<worksheet xmlns="http://schemas.openxmlformats.org/spreadsheetml/2006/main" xmlns:r="http://schemas.openxmlformats.org/officeDocument/2006/relationships">
  <sheetPr codeName="Sheet41">
    <pageSetUpPr fitToPage="1"/>
  </sheetPr>
  <dimension ref="A1:N20"/>
  <sheetViews>
    <sheetView zoomScale="55" zoomScaleNormal="55" workbookViewId="0" topLeftCell="A1">
      <pane xSplit="3" ySplit="4" topLeftCell="D5" activePane="bottomRight" state="frozen"/>
      <selection pane="topLeft" activeCell="G23" sqref="G23"/>
      <selection pane="topRight" activeCell="G23" sqref="G23"/>
      <selection pane="bottomLeft" activeCell="G23" sqref="G23"/>
      <selection pane="bottomRight" activeCell="A1" sqref="A1"/>
    </sheetView>
  </sheetViews>
  <sheetFormatPr defaultColWidth="9.00390625" defaultRowHeight="15"/>
  <cols>
    <col min="1" max="1" width="2.625" style="71" customWidth="1"/>
    <col min="2" max="2" width="2.625" style="63" customWidth="1"/>
    <col min="3" max="3" width="48.00390625" style="63" customWidth="1"/>
    <col min="4" max="4" width="2.625" style="63" customWidth="1"/>
    <col min="5" max="12" width="9.00390625" style="63" customWidth="1"/>
    <col min="13" max="13" width="2.625" style="63" customWidth="1"/>
    <col min="14" max="14" width="14.75390625" style="103" bestFit="1" customWidth="1"/>
    <col min="15" max="16384" width="9.00390625" style="63" customWidth="1"/>
  </cols>
  <sheetData>
    <row r="1" spans="1:14" ht="29.25">
      <c r="A1" s="462" t="str">
        <f>+'GDN data output sheet'!C4</f>
        <v>Wales &amp; West</v>
      </c>
      <c r="C1" s="65"/>
      <c r="N1" s="206"/>
    </row>
    <row r="2" ht="14.25">
      <c r="A2" s="216" t="s">
        <v>150</v>
      </c>
    </row>
    <row r="3" spans="3:12" ht="14.25">
      <c r="C3" s="63" t="s">
        <v>783</v>
      </c>
      <c r="E3" s="66" t="e">
        <f>EOMONTH(StartDate,E4*12)</f>
        <v>#NAME?</v>
      </c>
      <c r="F3" s="66" t="e">
        <f>EOMONTH(StartDate,F4*12)</f>
        <v>#NAME?</v>
      </c>
      <c r="G3" s="66" t="e">
        <f>EOMONTH(StartDate,G4*12)</f>
        <v>#NAME?</v>
      </c>
      <c r="H3" s="66" t="e">
        <f>EOMONTH(StartDate,H4*12)</f>
        <v>#NAME?</v>
      </c>
      <c r="I3" s="66" t="e">
        <f>EOMONTH(StartDate,I4*12)</f>
        <v>#NAME?</v>
      </c>
      <c r="J3" s="66" t="e">
        <f>EOMONTH(StartDate,J4*12)</f>
        <v>#NAME?</v>
      </c>
      <c r="K3" s="66" t="e">
        <f>EOMONTH(StartDate,K4*12)</f>
        <v>#NAME?</v>
      </c>
      <c r="L3" s="66" t="e">
        <f>EOMONTH(StartDate,L4*12)</f>
        <v>#NAME?</v>
      </c>
    </row>
    <row r="4" spans="1:12" ht="14.25">
      <c r="A4" s="100"/>
      <c r="B4" s="67"/>
      <c r="C4" s="67" t="s">
        <v>82</v>
      </c>
      <c r="D4" s="67"/>
      <c r="E4" s="68">
        <f>Input!E4</f>
        <v>4</v>
      </c>
      <c r="F4" s="68">
        <f aca="true" t="shared" si="0" ref="F4:L4">E4+1</f>
        <v>5</v>
      </c>
      <c r="G4" s="194">
        <f t="shared" si="0"/>
        <v>6</v>
      </c>
      <c r="H4" s="194">
        <f t="shared" si="0"/>
        <v>7</v>
      </c>
      <c r="I4" s="194">
        <f t="shared" si="0"/>
        <v>8</v>
      </c>
      <c r="J4" s="194">
        <f t="shared" si="0"/>
        <v>9</v>
      </c>
      <c r="K4" s="194">
        <f t="shared" si="0"/>
        <v>10</v>
      </c>
      <c r="L4" s="194">
        <f t="shared" si="0"/>
        <v>11</v>
      </c>
    </row>
    <row r="5" spans="1:12" ht="14.25">
      <c r="A5" s="98"/>
      <c r="B5" s="129"/>
      <c r="C5" s="129"/>
      <c r="D5" s="129"/>
      <c r="E5" s="129"/>
      <c r="F5" s="129"/>
      <c r="G5" s="98"/>
      <c r="H5" s="98"/>
      <c r="I5" s="98"/>
      <c r="J5" s="98"/>
      <c r="K5" s="98"/>
      <c r="L5" s="98"/>
    </row>
    <row r="6" spans="2:12" ht="14.25">
      <c r="B6" s="71"/>
      <c r="C6" s="217"/>
      <c r="E6" s="150"/>
      <c r="F6" s="150"/>
      <c r="G6" s="144"/>
      <c r="H6" s="144"/>
      <c r="I6" s="144"/>
      <c r="J6" s="144"/>
      <c r="K6" s="144"/>
      <c r="L6" s="144"/>
    </row>
    <row r="7" spans="2:12" ht="14.25">
      <c r="B7" s="69" t="s">
        <v>71</v>
      </c>
      <c r="E7" s="143"/>
      <c r="F7" s="143"/>
      <c r="G7" s="214"/>
      <c r="H7" s="214"/>
      <c r="I7" s="214"/>
      <c r="J7" s="214"/>
      <c r="K7" s="214"/>
      <c r="L7" s="214"/>
    </row>
    <row r="8" spans="3:12" ht="14.25">
      <c r="C8" s="63" t="s">
        <v>787</v>
      </c>
      <c r="E8" s="143">
        <f>+'P&amp;L (Nominal)'!E19</f>
        <v>-3.4993095184125096</v>
      </c>
      <c r="F8" s="143">
        <f>+'P&amp;L (Nominal)'!F19</f>
        <v>-9.123812179600613</v>
      </c>
      <c r="G8" s="214">
        <f>+'P&amp;L (Nominal)'!G19</f>
        <v>-23.353748296952034</v>
      </c>
      <c r="H8" s="214">
        <f>+'P&amp;L (Nominal)'!H19</f>
        <v>-31.60190655529238</v>
      </c>
      <c r="I8" s="214">
        <f>+'P&amp;L (Nominal)'!I19</f>
        <v>-35.18101917335861</v>
      </c>
      <c r="J8" s="214">
        <f>+'P&amp;L (Nominal)'!J19</f>
        <v>-30.662088802604387</v>
      </c>
      <c r="K8" s="214">
        <f>+'P&amp;L (Nominal)'!K19</f>
        <v>-27.71430635890828</v>
      </c>
      <c r="L8" s="214">
        <f>+'P&amp;L (Nominal)'!L19</f>
        <v>-24.0985287462859</v>
      </c>
    </row>
    <row r="9" spans="3:12" ht="14.25">
      <c r="C9" s="134" t="s">
        <v>438</v>
      </c>
      <c r="E9" s="143">
        <f>-'P&amp;L (Nominal)'!E13-'P&amp;L (Nominal)'!E14</f>
        <v>38.3</v>
      </c>
      <c r="F9" s="143">
        <f>-'P&amp;L (Nominal)'!F13-'P&amp;L (Nominal)'!F14</f>
        <v>46.12499999999999</v>
      </c>
      <c r="G9" s="214">
        <f>-'P&amp;L (Nominal)'!G13-'P&amp;L (Nominal)'!G14</f>
        <v>48.433812499999995</v>
      </c>
      <c r="H9" s="214">
        <f>-'P&amp;L (Nominal)'!H13-'P&amp;L (Nominal)'!H14</f>
        <v>57.8290265625</v>
      </c>
      <c r="I9" s="214">
        <f>-'P&amp;L (Nominal)'!I13-'P&amp;L (Nominal)'!I14</f>
        <v>59.27475222656249</v>
      </c>
      <c r="J9" s="214">
        <f>-'P&amp;L (Nominal)'!J13-'P&amp;L (Nominal)'!J14</f>
        <v>60.756621032226555</v>
      </c>
      <c r="K9" s="214">
        <f>-'P&amp;L (Nominal)'!K13-'P&amp;L (Nominal)'!K14</f>
        <v>62.275536558032194</v>
      </c>
      <c r="L9" s="214">
        <f>-'P&amp;L (Nominal)'!L13-'P&amp;L (Nominal)'!L14</f>
        <v>63.832424971983</v>
      </c>
    </row>
    <row r="10" spans="3:14" ht="14.25">
      <c r="C10" s="134" t="s">
        <v>439</v>
      </c>
      <c r="E10" s="143">
        <f>Input!E181*RPI2000allnom/RPI00to05</f>
        <v>-27.051999999999996</v>
      </c>
      <c r="F10" s="143">
        <f>Input!F181*RPI2000allnom/RPI00to05</f>
        <v>-28.719984999999998</v>
      </c>
      <c r="G10" s="143">
        <f>Input!G181*RPI2000allnom/RPI00to05</f>
        <v>-26.653901074999997</v>
      </c>
      <c r="H10" s="143">
        <f>Input!H181*RPI2000allnom/RPI00to05</f>
        <v>-28.410810500273325</v>
      </c>
      <c r="I10" s="143">
        <f>Input!I181*RPI2000allnom/RPI00to05</f>
        <v>-32.85763018715189</v>
      </c>
      <c r="J10" s="143">
        <f>Input!J181*RPI2000allnom/RPI00to05</f>
        <v>-33.969285136481915</v>
      </c>
      <c r="K10" s="143">
        <f>Input!K181*RPI2000allnom/RPI00to05</f>
        <v>-33.98352688278191</v>
      </c>
      <c r="L10" s="143">
        <f>Input!L181*RPI2000allnom/RPI00to05</f>
        <v>-33.83938905091669</v>
      </c>
      <c r="N10" s="513"/>
    </row>
    <row r="11" spans="3:14" ht="14.25">
      <c r="C11" s="63" t="s">
        <v>302</v>
      </c>
      <c r="E11" s="143">
        <f>+Tax!E11*RPI2000allnom/RPI00to05</f>
        <v>0</v>
      </c>
      <c r="F11" s="143">
        <f>+Tax!F11*RPI2000allnom/RPI00to05</f>
        <v>0</v>
      </c>
      <c r="G11" s="214">
        <f>+Tax!G11*RPI2000allnom/RPI00to05</f>
        <v>-5.444444444444444</v>
      </c>
      <c r="H11" s="214">
        <f>+Tax!H11*RPI2000allnom/RPI00to05</f>
        <v>-5.444444444444443</v>
      </c>
      <c r="I11" s="214">
        <f>+Tax!I11*RPI2000allnom/RPI00to05</f>
        <v>-5.444444444444443</v>
      </c>
      <c r="J11" s="214">
        <f>+Tax!J11*RPI2000allnom/RPI00to05</f>
        <v>-5.444444444444444</v>
      </c>
      <c r="K11" s="214">
        <f>+Tax!K11*RPI2000allnom/RPI00to05</f>
        <v>-5.444444444444444</v>
      </c>
      <c r="L11" s="214">
        <f>+Tax!L11*RPI2000allnom/RPI00to05</f>
        <v>-5.444444444444444</v>
      </c>
      <c r="N11" s="513"/>
    </row>
    <row r="12" spans="3:14" ht="14.25">
      <c r="C12" s="134" t="s">
        <v>440</v>
      </c>
      <c r="E12" s="143">
        <f>+Tax!E12*RPI2000allnom/RPI00to05</f>
        <v>0</v>
      </c>
      <c r="F12" s="143">
        <f>+Tax!F12*RPI2000allnom/RPI00to05</f>
        <v>0</v>
      </c>
      <c r="G12" s="214">
        <f>+Tax!G12*RPI2000allnom/RPI00to05</f>
        <v>0</v>
      </c>
      <c r="H12" s="214">
        <f>+Tax!H12*RPI2000allnom/RPI00to05</f>
        <v>0</v>
      </c>
      <c r="I12" s="214">
        <f>+Tax!I12*RPI2000allnom/RPI00to05</f>
        <v>0</v>
      </c>
      <c r="J12" s="214">
        <f>+Tax!J12*RPI2000allnom/RPI00to05</f>
        <v>0</v>
      </c>
      <c r="K12" s="214">
        <f>+Tax!K12*RPI2000allnom/RPI00to05</f>
        <v>0</v>
      </c>
      <c r="L12" s="214">
        <f>+Tax!L12*RPI2000allnom/RPI00to05</f>
        <v>0</v>
      </c>
      <c r="N12" s="513"/>
    </row>
    <row r="13" spans="3:14" ht="14.25">
      <c r="C13" s="134" t="s">
        <v>441</v>
      </c>
      <c r="E13" s="143">
        <f>+Tax!E13*RPI2000allnom/RPI00to05</f>
        <v>-0.5043402003681652</v>
      </c>
      <c r="F13" s="143">
        <f>+Tax!F13*RPI2000allnom/RPI00to05</f>
        <v>-0.622878454360392</v>
      </c>
      <c r="G13" s="214">
        <f>+Tax!G13*RPI2000allnom/RPI00to05</f>
        <v>-2.5203768005684926</v>
      </c>
      <c r="H13" s="214">
        <f>+Tax!H13*RPI2000allnom/RPI00to05</f>
        <v>-2.573051774023553</v>
      </c>
      <c r="I13" s="214">
        <f>+Tax!I13*RPI2000allnom/RPI00to05</f>
        <v>-3.078448054898009</v>
      </c>
      <c r="J13" s="214">
        <f>+Tax!J13*RPI2000allnom/RPI00to05</f>
        <v>-2.6783077516940237</v>
      </c>
      <c r="K13" s="214">
        <f>+Tax!K13*RPI2000allnom/RPI00to05</f>
        <v>-2.3460258311523936</v>
      </c>
      <c r="L13" s="214">
        <f>+Tax!L13*RPI2000allnom/RPI00to05</f>
        <v>-2.4394003522739625</v>
      </c>
      <c r="N13" s="513"/>
    </row>
    <row r="14" spans="3:14" ht="14.25">
      <c r="C14" s="134" t="s">
        <v>442</v>
      </c>
      <c r="E14" s="143">
        <f>+Tax!E14*RPI2000allnom/RPI00to05</f>
        <v>0</v>
      </c>
      <c r="F14" s="143">
        <f>+Tax!F14*RPI2000allnom/RPI00to05</f>
        <v>0</v>
      </c>
      <c r="G14" s="214">
        <f>+Tax!G14*RPI2000allnom/RPI00to05</f>
        <v>0</v>
      </c>
      <c r="H14" s="214">
        <f>+Tax!H14*RPI2000allnom/RPI00to05</f>
        <v>0</v>
      </c>
      <c r="I14" s="214">
        <f>+Tax!I14*RPI2000allnom/RPI00to05</f>
        <v>0</v>
      </c>
      <c r="J14" s="214">
        <f>+Tax!J14*RPI2000allnom/RPI00to05</f>
        <v>0</v>
      </c>
      <c r="K14" s="214">
        <f>+Tax!K14*RPI2000allnom/RPI00to05</f>
        <v>0</v>
      </c>
      <c r="L14" s="214">
        <f>+Tax!L14*RPI2000allnom/RPI00to05</f>
        <v>0</v>
      </c>
      <c r="N14" s="513"/>
    </row>
    <row r="15" spans="3:12" ht="14.25">
      <c r="C15" s="134" t="s">
        <v>70</v>
      </c>
      <c r="E15" s="146">
        <f aca="true" t="shared" si="1" ref="E15:L15">SUM(E8:E14)</f>
        <v>7.244350281219326</v>
      </c>
      <c r="F15" s="146">
        <f t="shared" si="1"/>
        <v>7.658324366038991</v>
      </c>
      <c r="G15" s="399">
        <f t="shared" si="1"/>
        <v>-9.538658116964973</v>
      </c>
      <c r="H15" s="399">
        <f t="shared" si="1"/>
        <v>-10.201186711533703</v>
      </c>
      <c r="I15" s="399">
        <f t="shared" si="1"/>
        <v>-17.286789633290457</v>
      </c>
      <c r="J15" s="399">
        <f t="shared" si="1"/>
        <v>-11.997505102998215</v>
      </c>
      <c r="K15" s="399">
        <f t="shared" si="1"/>
        <v>-7.212766959254834</v>
      </c>
      <c r="L15" s="399">
        <f t="shared" si="1"/>
        <v>-1.9893376219379912</v>
      </c>
    </row>
    <row r="16" spans="5:12" ht="14.25">
      <c r="E16" s="143"/>
      <c r="F16" s="143"/>
      <c r="G16" s="214"/>
      <c r="H16" s="214"/>
      <c r="I16" s="214"/>
      <c r="J16" s="214"/>
      <c r="K16" s="214"/>
      <c r="L16" s="214"/>
    </row>
    <row r="17" spans="2:12" ht="14.25">
      <c r="B17" s="69" t="s">
        <v>58</v>
      </c>
      <c r="E17" s="143"/>
      <c r="F17" s="143"/>
      <c r="G17" s="214"/>
      <c r="H17" s="214"/>
      <c r="I17" s="214"/>
      <c r="J17" s="214"/>
      <c r="K17" s="214"/>
      <c r="L17" s="214"/>
    </row>
    <row r="18" spans="3:12" ht="14.25">
      <c r="C18" s="63" t="s">
        <v>59</v>
      </c>
      <c r="E18" s="143">
        <f>-MAX(E15,0)*Input!E59</f>
        <v>-2.1733050843657975</v>
      </c>
      <c r="F18" s="143">
        <f>-MAX(F15,0)*Input!F59</f>
        <v>-2.297497309811697</v>
      </c>
      <c r="G18" s="214">
        <f>-MAX(G15,0)*Input!G59</f>
        <v>0</v>
      </c>
      <c r="H18" s="214">
        <f>-MAX(H15,0)*Input!H59</f>
        <v>0</v>
      </c>
      <c r="I18" s="214">
        <f>-MAX(I15,0)*Input!I59</f>
        <v>0</v>
      </c>
      <c r="J18" s="214">
        <f>-MAX(J15,0)*Input!J59</f>
        <v>0</v>
      </c>
      <c r="K18" s="214">
        <f>-MAX(K15,0)*Input!K59</f>
        <v>0</v>
      </c>
      <c r="L18" s="214">
        <f>-MAX(L15,0)*Input!L59</f>
        <v>0</v>
      </c>
    </row>
    <row r="19" spans="3:14" ht="14.25">
      <c r="C19" s="63" t="s">
        <v>561</v>
      </c>
      <c r="E19" s="143">
        <f>+Tax!E19*RPI2000allnom/RPI00to05</f>
        <v>0</v>
      </c>
      <c r="F19" s="143">
        <f>+Tax!F19*RPI2000allnom/RPI00to05</f>
        <v>0</v>
      </c>
      <c r="G19" s="214">
        <f>+Tax!G19*RPI2000allnom/RPI00to05</f>
        <v>0</v>
      </c>
      <c r="H19" s="214">
        <f>+Tax!H19*RPI2000allnom/RPI00to05</f>
        <v>0</v>
      </c>
      <c r="I19" s="214">
        <f>+Tax!I19*RPI2000allnom/RPI00to05</f>
        <v>0</v>
      </c>
      <c r="J19" s="214">
        <f>+Tax!J19*RPI2000allnom/RPI00to05</f>
        <v>0</v>
      </c>
      <c r="K19" s="214">
        <f>+Tax!K19*RPI2000allnom/RPI00to05</f>
        <v>0</v>
      </c>
      <c r="L19" s="214">
        <f>+Tax!L19*RPI2000allnom/RPI00to05</f>
        <v>0</v>
      </c>
      <c r="N19" s="63"/>
    </row>
    <row r="20" spans="3:12" ht="15" thickBot="1">
      <c r="C20" s="63" t="s">
        <v>58</v>
      </c>
      <c r="E20" s="152">
        <f aca="true" t="shared" si="2" ref="E20:L20">SUM(E18:E19)</f>
        <v>-2.1733050843657975</v>
      </c>
      <c r="F20" s="152">
        <f t="shared" si="2"/>
        <v>-2.297497309811697</v>
      </c>
      <c r="G20" s="152">
        <f t="shared" si="2"/>
        <v>0</v>
      </c>
      <c r="H20" s="152">
        <f t="shared" si="2"/>
        <v>0</v>
      </c>
      <c r="I20" s="152">
        <f t="shared" si="2"/>
        <v>0</v>
      </c>
      <c r="J20" s="152">
        <f t="shared" si="2"/>
        <v>0</v>
      </c>
      <c r="K20" s="152">
        <f t="shared" si="2"/>
        <v>0</v>
      </c>
      <c r="L20" s="152">
        <f t="shared" si="2"/>
        <v>0</v>
      </c>
    </row>
    <row r="21" ht="15" thickTop="1"/>
  </sheetData>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93" r:id="rId1"/>
  <headerFooter alignWithMargins="0">
    <oddHeader>&amp;L&amp;F&amp;R&amp;A</oddHeader>
    <oddFooter>&amp;L&amp;D&amp;T&amp;CPage &amp;P of &amp;N</oddFooter>
  </headerFooter>
</worksheet>
</file>

<file path=xl/worksheets/sheet24.xml><?xml version="1.0" encoding="utf-8"?>
<worksheet xmlns="http://schemas.openxmlformats.org/spreadsheetml/2006/main" xmlns:r="http://schemas.openxmlformats.org/officeDocument/2006/relationships">
  <sheetPr codeName="Sheet5">
    <pageSetUpPr fitToPage="1"/>
  </sheetPr>
  <dimension ref="A1:AH69"/>
  <sheetViews>
    <sheetView zoomScale="55" zoomScaleNormal="55" workbookViewId="0" topLeftCell="A1">
      <selection activeCell="A1" sqref="A1"/>
    </sheetView>
  </sheetViews>
  <sheetFormatPr defaultColWidth="9.00390625" defaultRowHeight="15"/>
  <cols>
    <col min="1" max="1" width="2.625" style="71" customWidth="1"/>
    <col min="2" max="2" width="2.625" style="63" customWidth="1"/>
    <col min="3" max="3" width="48.00390625" style="63" customWidth="1"/>
    <col min="4" max="4" width="3.25390625" style="63" customWidth="1"/>
    <col min="5" max="5" width="9.625" style="63" bestFit="1" customWidth="1"/>
    <col min="6" max="7" width="9.50390625" style="63" bestFit="1" customWidth="1"/>
    <col min="8" max="12" width="10.75390625" style="63" customWidth="1"/>
    <col min="13" max="32" width="0" style="63" hidden="1" customWidth="1"/>
    <col min="33" max="33" width="2.625" style="63" hidden="1" customWidth="1"/>
    <col min="34" max="34" width="11.25390625" style="103" customWidth="1"/>
    <col min="35" max="38" width="9.00390625" style="63" customWidth="1"/>
    <col min="39" max="39" width="2.625" style="63" customWidth="1"/>
    <col min="40" max="16384" width="9.00390625" style="63" customWidth="1"/>
  </cols>
  <sheetData>
    <row r="1" spans="1:34" ht="29.25">
      <c r="A1" s="514" t="str">
        <f>+'GDN data output sheet'!C4</f>
        <v>Wales &amp; West</v>
      </c>
      <c r="C1" s="65"/>
      <c r="AH1" s="206"/>
    </row>
    <row r="2" ht="14.25">
      <c r="A2" s="216" t="s">
        <v>150</v>
      </c>
    </row>
    <row r="3" spans="3:32" ht="14.25">
      <c r="C3" s="63" t="s">
        <v>783</v>
      </c>
      <c r="E3" s="66">
        <v>38807</v>
      </c>
      <c r="F3" s="66">
        <v>39172</v>
      </c>
      <c r="G3" s="66">
        <v>39538</v>
      </c>
      <c r="H3" s="66">
        <v>39903</v>
      </c>
      <c r="I3" s="66">
        <v>40268</v>
      </c>
      <c r="J3" s="66">
        <v>40633</v>
      </c>
      <c r="K3" s="66">
        <v>40999</v>
      </c>
      <c r="L3" s="66">
        <v>41364</v>
      </c>
      <c r="M3" s="66"/>
      <c r="N3" s="66"/>
      <c r="O3" s="66"/>
      <c r="P3" s="66"/>
      <c r="Q3" s="66"/>
      <c r="R3" s="66"/>
      <c r="S3" s="66"/>
      <c r="T3" s="66"/>
      <c r="U3" s="66"/>
      <c r="V3" s="66"/>
      <c r="W3" s="66"/>
      <c r="X3" s="66"/>
      <c r="Y3" s="66"/>
      <c r="Z3" s="66"/>
      <c r="AA3" s="66"/>
      <c r="AB3" s="66"/>
      <c r="AC3" s="66"/>
      <c r="AD3" s="66"/>
      <c r="AE3" s="66"/>
      <c r="AF3" s="66"/>
    </row>
    <row r="4" spans="1:32" ht="14.25">
      <c r="A4" s="100"/>
      <c r="B4" s="67"/>
      <c r="C4" s="67" t="s">
        <v>82</v>
      </c>
      <c r="D4" s="67"/>
      <c r="E4" s="68">
        <v>4</v>
      </c>
      <c r="F4" s="68">
        <f>E4+1</f>
        <v>5</v>
      </c>
      <c r="G4" s="68">
        <f aca="true" t="shared" si="0" ref="G4:L4">F4+1</f>
        <v>6</v>
      </c>
      <c r="H4" s="68">
        <f t="shared" si="0"/>
        <v>7</v>
      </c>
      <c r="I4" s="68">
        <f t="shared" si="0"/>
        <v>8</v>
      </c>
      <c r="J4" s="68">
        <f t="shared" si="0"/>
        <v>9</v>
      </c>
      <c r="K4" s="68">
        <f t="shared" si="0"/>
        <v>10</v>
      </c>
      <c r="L4" s="68">
        <f t="shared" si="0"/>
        <v>11</v>
      </c>
      <c r="M4" s="68"/>
      <c r="N4" s="68"/>
      <c r="O4" s="68"/>
      <c r="P4" s="68"/>
      <c r="Q4" s="68"/>
      <c r="R4" s="68"/>
      <c r="S4" s="68"/>
      <c r="T4" s="68"/>
      <c r="U4" s="68"/>
      <c r="V4" s="68"/>
      <c r="W4" s="68"/>
      <c r="X4" s="68"/>
      <c r="Y4" s="68"/>
      <c r="Z4" s="68"/>
      <c r="AA4" s="68"/>
      <c r="AB4" s="68"/>
      <c r="AC4" s="68"/>
      <c r="AD4" s="68"/>
      <c r="AE4" s="68"/>
      <c r="AF4" s="68"/>
    </row>
    <row r="5" spans="1:32" ht="14.25">
      <c r="A5" s="98"/>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row>
    <row r="6" ht="14.25">
      <c r="A6" s="487" t="s">
        <v>767</v>
      </c>
    </row>
    <row r="7" ht="14.25">
      <c r="A7" s="488"/>
    </row>
    <row r="8" ht="14.25">
      <c r="B8" s="122" t="s">
        <v>80</v>
      </c>
    </row>
    <row r="9" spans="2:12" ht="14.25">
      <c r="B9" s="122"/>
      <c r="C9" s="63" t="s">
        <v>636</v>
      </c>
      <c r="E9" s="71">
        <f>IF(E4&lt;6.5,Input!E140,D9+'P&amp;L (Nominal)'!E14)</f>
        <v>0</v>
      </c>
      <c r="F9" s="71">
        <f>IF(F4&lt;6.5,Input!F140,E9+'P&amp;L (Nominal)'!F14)</f>
        <v>0</v>
      </c>
      <c r="G9" s="71">
        <f>IF(G4&lt;6.5,Input!G140,F9+'P&amp;L (Nominal)'!G14)</f>
        <v>0</v>
      </c>
      <c r="H9" s="71">
        <f>IF(H4&lt;6.5,Input!H140,G9+'P&amp;L (Nominal)'!H14)</f>
        <v>0</v>
      </c>
      <c r="I9" s="71">
        <f>IF(I4&lt;6.5,Input!I140,H9+'P&amp;L (Nominal)'!I14)</f>
        <v>0</v>
      </c>
      <c r="J9" s="63">
        <f>IF(J4&lt;6.5,Input!J140,I9+'P&amp;L (Nominal)'!J14)</f>
        <v>0</v>
      </c>
      <c r="K9" s="63">
        <f>IF(K4&lt;6.5,Input!K140,J9+'P&amp;L (Nominal)'!K14)</f>
        <v>0</v>
      </c>
      <c r="L9" s="63">
        <f>IF(L4&lt;6.5,Input!L140,K9+'P&amp;L (Nominal)'!L14)</f>
        <v>0</v>
      </c>
    </row>
    <row r="10" spans="3:32" ht="14.25">
      <c r="C10" s="121" t="s">
        <v>812</v>
      </c>
      <c r="E10" s="224">
        <f>+Input!E141</f>
        <v>1257.118</v>
      </c>
      <c r="F10" s="224">
        <f>+E10+'P&amp;L (Nominal)'!F13+Input!F174-Input!F176</f>
        <v>1230.1461015089149</v>
      </c>
      <c r="G10" s="224">
        <f>+F10+'P&amp;L (Nominal)'!G13+Input!G174-Input!G177</f>
        <v>1223.2863504101192</v>
      </c>
      <c r="H10" s="224">
        <f>+G10+'P&amp;L (Nominal)'!H13+Input!H174-Input!H176</f>
        <v>1224.35808702624</v>
      </c>
      <c r="I10" s="224">
        <f>+H10+'P&amp;L (Nominal)'!I13+Input!I174-Input!I176</f>
        <v>1225.009095225792</v>
      </c>
      <c r="J10" s="222">
        <f>+I10+'P&amp;L (Nominal)'!J13+Input!J174-Input!J176</f>
        <v>1214.2587261912856</v>
      </c>
      <c r="K10" s="222">
        <f>+J10+'P&amp;L (Nominal)'!K13+Input!K174-Input!K176</f>
        <v>1203.9141761333224</v>
      </c>
      <c r="L10" s="222">
        <f>+K10+'P&amp;L (Nominal)'!L13+Input!L174-Input!L176</f>
        <v>1189.9922368697362</v>
      </c>
      <c r="M10" s="222"/>
      <c r="N10" s="222"/>
      <c r="O10" s="222"/>
      <c r="P10" s="222"/>
      <c r="Q10" s="222"/>
      <c r="R10" s="222"/>
      <c r="S10" s="222"/>
      <c r="T10" s="222"/>
      <c r="U10" s="222"/>
      <c r="V10" s="222"/>
      <c r="W10" s="222"/>
      <c r="X10" s="222"/>
      <c r="Y10" s="222"/>
      <c r="Z10" s="222"/>
      <c r="AA10" s="222"/>
      <c r="AB10" s="222"/>
      <c r="AC10" s="222"/>
      <c r="AD10" s="222"/>
      <c r="AE10" s="222"/>
      <c r="AF10" s="222"/>
    </row>
    <row r="11" spans="3:32" ht="14.25">
      <c r="C11" s="121"/>
      <c r="E11" s="223">
        <f aca="true" t="shared" si="1" ref="E11:L11">+SUM(E9:E10)</f>
        <v>1257.118</v>
      </c>
      <c r="F11" s="223">
        <f t="shared" si="1"/>
        <v>1230.1461015089149</v>
      </c>
      <c r="G11" s="223">
        <f t="shared" si="1"/>
        <v>1223.2863504101192</v>
      </c>
      <c r="H11" s="223">
        <f t="shared" si="1"/>
        <v>1224.35808702624</v>
      </c>
      <c r="I11" s="223">
        <f t="shared" si="1"/>
        <v>1225.009095225792</v>
      </c>
      <c r="J11" s="223">
        <f t="shared" si="1"/>
        <v>1214.2587261912856</v>
      </c>
      <c r="K11" s="223">
        <f t="shared" si="1"/>
        <v>1203.9141761333224</v>
      </c>
      <c r="L11" s="223">
        <f t="shared" si="1"/>
        <v>1189.9922368697362</v>
      </c>
      <c r="M11" s="223"/>
      <c r="N11" s="223"/>
      <c r="O11" s="223"/>
      <c r="P11" s="223"/>
      <c r="Q11" s="223"/>
      <c r="R11" s="223"/>
      <c r="S11" s="223"/>
      <c r="T11" s="223"/>
      <c r="U11" s="223"/>
      <c r="V11" s="223"/>
      <c r="W11" s="223"/>
      <c r="X11" s="223"/>
      <c r="Y11" s="223"/>
      <c r="Z11" s="223"/>
      <c r="AA11" s="223"/>
      <c r="AB11" s="223"/>
      <c r="AC11" s="223"/>
      <c r="AD11" s="223"/>
      <c r="AE11" s="223"/>
      <c r="AF11" s="223"/>
    </row>
    <row r="12" spans="2:32" ht="14.25">
      <c r="B12" s="122" t="s">
        <v>803</v>
      </c>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row>
    <row r="13" spans="3:32" ht="14.25">
      <c r="C13" s="71" t="s">
        <v>0</v>
      </c>
      <c r="E13" s="222">
        <f>+E65*('P&amp;L (Nominal)'!E9+'P&amp;L (Nominal)'!E11+'P&amp;L (Nominal)'!E10)/365*-1</f>
        <v>1.1977190013964298</v>
      </c>
      <c r="F13" s="222">
        <f>+F65*('P&amp;L (Nominal)'!F9+'P&amp;L (Nominal)'!F11+'P&amp;L (Nominal)'!F10)/365*-1</f>
        <v>1.1825972709398733</v>
      </c>
      <c r="G13" s="222">
        <f>+G65*('P&amp;L (Nominal)'!G9+'P&amp;L (Nominal)'!G11+'P&amp;L (Nominal)'!G10)/365*-1</f>
        <v>1.4982343847890804</v>
      </c>
      <c r="H13" s="224">
        <f>+H65*('P&amp;L (Nominal)'!H9+'P&amp;L (Nominal)'!H11+'P&amp;L (Nominal)'!H10)/365*-1</f>
        <v>1.6037762006949472</v>
      </c>
      <c r="I13" s="224">
        <f>+I65*('P&amp;L (Nominal)'!I9+'P&amp;L (Nominal)'!I11+'P&amp;L (Nominal)'!I10)/365*-1</f>
        <v>1.7395288367701427</v>
      </c>
      <c r="J13" s="224">
        <f>+J65*('P&amp;L (Nominal)'!J9+'P&amp;L (Nominal)'!J11+'P&amp;L (Nominal)'!J10)/365*-1</f>
        <v>1.7227654912977535</v>
      </c>
      <c r="K13" s="224">
        <f>+K65*('P&amp;L (Nominal)'!K9+'P&amp;L (Nominal)'!K11+'P&amp;L (Nominal)'!K10)/365*-1</f>
        <v>1.7508830110450762</v>
      </c>
      <c r="L13" s="224">
        <f>+L65*('P&amp;L (Nominal)'!L9+'P&amp;L (Nominal)'!L11+'P&amp;L (Nominal)'!L10)/365*-1</f>
        <v>1.7623789007966797</v>
      </c>
      <c r="M13" s="222"/>
      <c r="N13" s="222"/>
      <c r="O13" s="222"/>
      <c r="P13" s="222"/>
      <c r="Q13" s="222"/>
      <c r="R13" s="222"/>
      <c r="S13" s="222"/>
      <c r="T13" s="222"/>
      <c r="U13" s="222"/>
      <c r="V13" s="222"/>
      <c r="W13" s="222"/>
      <c r="X13" s="222"/>
      <c r="Y13" s="222"/>
      <c r="Z13" s="222"/>
      <c r="AA13" s="222"/>
      <c r="AB13" s="222"/>
      <c r="AC13" s="222"/>
      <c r="AD13" s="222"/>
      <c r="AE13" s="222"/>
      <c r="AF13" s="222"/>
    </row>
    <row r="14" spans="3:32" ht="14.25">
      <c r="C14" s="225" t="s">
        <v>756</v>
      </c>
      <c r="E14" s="222">
        <f>+E66/365*'P&amp;L (Nominal)'!E8</f>
        <v>20.16094873757556</v>
      </c>
      <c r="F14" s="222">
        <f>+F66/365*'P&amp;L (Nominal)'!F8</f>
        <v>20.12210144552068</v>
      </c>
      <c r="G14" s="222">
        <f>+G66/365*'P&amp;L (Nominal)'!G8</f>
        <v>22.33592586646819</v>
      </c>
      <c r="H14" s="224">
        <f>+H66/365*'P&amp;L (Nominal)'!H8</f>
        <v>23.004755425922387</v>
      </c>
      <c r="I14" s="224">
        <f>+I66/365*'P&amp;L (Nominal)'!I8</f>
        <v>24.496822194099337</v>
      </c>
      <c r="J14" s="224">
        <f>+J66/365*'P&amp;L (Nominal)'!J8</f>
        <v>25.126644575932364</v>
      </c>
      <c r="K14" s="224">
        <f>+K66/365*'P&amp;L (Nominal)'!K8</f>
        <v>26.035365166546708</v>
      </c>
      <c r="L14" s="224">
        <f>+L66/365*'P&amp;L (Nominal)'!L8</f>
        <v>26.820005665454588</v>
      </c>
      <c r="M14" s="222"/>
      <c r="N14" s="222"/>
      <c r="O14" s="222"/>
      <c r="P14" s="222"/>
      <c r="Q14" s="222"/>
      <c r="R14" s="222"/>
      <c r="S14" s="222"/>
      <c r="T14" s="222"/>
      <c r="U14" s="222"/>
      <c r="V14" s="222"/>
      <c r="W14" s="222"/>
      <c r="X14" s="222"/>
      <c r="Y14" s="222"/>
      <c r="Z14" s="222"/>
      <c r="AA14" s="222"/>
      <c r="AB14" s="222"/>
      <c r="AC14" s="222"/>
      <c r="AD14" s="222"/>
      <c r="AE14" s="222"/>
      <c r="AF14" s="222"/>
    </row>
    <row r="15" spans="3:32" ht="14.25">
      <c r="C15" s="225" t="s">
        <v>757</v>
      </c>
      <c r="E15" s="222">
        <v>0</v>
      </c>
      <c r="F15" s="222">
        <v>0</v>
      </c>
      <c r="G15" s="222">
        <v>0</v>
      </c>
      <c r="H15" s="224">
        <v>0</v>
      </c>
      <c r="I15" s="224">
        <v>0</v>
      </c>
      <c r="J15" s="224">
        <v>0</v>
      </c>
      <c r="K15" s="224">
        <v>0</v>
      </c>
      <c r="L15" s="224">
        <v>0</v>
      </c>
      <c r="M15" s="222"/>
      <c r="N15" s="222"/>
      <c r="O15" s="222"/>
      <c r="P15" s="222"/>
      <c r="Q15" s="222"/>
      <c r="R15" s="222"/>
      <c r="S15" s="222"/>
      <c r="T15" s="222"/>
      <c r="U15" s="222"/>
      <c r="V15" s="222"/>
      <c r="W15" s="222"/>
      <c r="X15" s="222"/>
      <c r="Y15" s="222"/>
      <c r="Z15" s="222"/>
      <c r="AA15" s="222"/>
      <c r="AB15" s="222"/>
      <c r="AC15" s="222"/>
      <c r="AD15" s="222"/>
      <c r="AE15" s="222"/>
      <c r="AF15" s="222"/>
    </row>
    <row r="16" spans="3:32" ht="14.25">
      <c r="C16" s="226" t="s">
        <v>110</v>
      </c>
      <c r="E16" s="224">
        <f>+IF(E4=4,Input!E147,0)</f>
        <v>0</v>
      </c>
      <c r="F16" s="224">
        <f>+IF(F4=4,Input!F147,0)</f>
        <v>0</v>
      </c>
      <c r="G16" s="224">
        <f>+IF(G4=4,Input!G147,0)</f>
        <v>0</v>
      </c>
      <c r="H16" s="224">
        <f>+IF(H4=4,Input!H147,0)</f>
        <v>0</v>
      </c>
      <c r="I16" s="224">
        <f>+IF(I4=4,Input!I147,0)</f>
        <v>0</v>
      </c>
      <c r="J16" s="224">
        <f>+IF(J4=4,Input!J147,0)</f>
        <v>0</v>
      </c>
      <c r="K16" s="224">
        <f>+IF(K4=4,Input!K147,0)</f>
        <v>0</v>
      </c>
      <c r="L16" s="224">
        <f>+IF(L4=4,Input!L147,0)</f>
        <v>0</v>
      </c>
      <c r="M16" s="222"/>
      <c r="N16" s="222"/>
      <c r="O16" s="222"/>
      <c r="P16" s="222"/>
      <c r="Q16" s="222"/>
      <c r="R16" s="222"/>
      <c r="S16" s="222"/>
      <c r="T16" s="222"/>
      <c r="U16" s="222"/>
      <c r="V16" s="222"/>
      <c r="W16" s="222"/>
      <c r="X16" s="222"/>
      <c r="Y16" s="222"/>
      <c r="Z16" s="222"/>
      <c r="AA16" s="222"/>
      <c r="AB16" s="222"/>
      <c r="AC16" s="222"/>
      <c r="AD16" s="222"/>
      <c r="AE16" s="222"/>
      <c r="AF16" s="222"/>
    </row>
    <row r="17" spans="3:32" ht="14.25">
      <c r="C17" s="71" t="s">
        <v>111</v>
      </c>
      <c r="E17" s="222">
        <v>0</v>
      </c>
      <c r="F17" s="222">
        <v>0</v>
      </c>
      <c r="G17" s="222">
        <v>0</v>
      </c>
      <c r="H17" s="224">
        <v>0</v>
      </c>
      <c r="I17" s="224">
        <v>0</v>
      </c>
      <c r="J17" s="224">
        <v>0</v>
      </c>
      <c r="K17" s="224">
        <v>0</v>
      </c>
      <c r="L17" s="224">
        <v>0</v>
      </c>
      <c r="M17" s="222"/>
      <c r="N17" s="222"/>
      <c r="O17" s="222"/>
      <c r="P17" s="222"/>
      <c r="Q17" s="222"/>
      <c r="R17" s="222"/>
      <c r="S17" s="222"/>
      <c r="T17" s="222"/>
      <c r="U17" s="222"/>
      <c r="V17" s="222"/>
      <c r="W17" s="222"/>
      <c r="X17" s="222"/>
      <c r="Y17" s="222"/>
      <c r="Z17" s="222"/>
      <c r="AA17" s="222"/>
      <c r="AB17" s="222"/>
      <c r="AC17" s="222"/>
      <c r="AD17" s="222"/>
      <c r="AE17" s="222"/>
      <c r="AF17" s="222"/>
    </row>
    <row r="18" spans="3:32" ht="14.25">
      <c r="C18" s="71"/>
      <c r="E18" s="222"/>
      <c r="F18" s="222"/>
      <c r="G18" s="222"/>
      <c r="H18" s="224"/>
      <c r="I18" s="224"/>
      <c r="J18" s="224"/>
      <c r="K18" s="224"/>
      <c r="L18" s="224"/>
      <c r="M18" s="222"/>
      <c r="N18" s="222"/>
      <c r="O18" s="222"/>
      <c r="P18" s="222"/>
      <c r="Q18" s="222"/>
      <c r="R18" s="222"/>
      <c r="S18" s="222"/>
      <c r="T18" s="222"/>
      <c r="U18" s="222"/>
      <c r="V18" s="222"/>
      <c r="W18" s="222"/>
      <c r="X18" s="222"/>
      <c r="Y18" s="222"/>
      <c r="Z18" s="222"/>
      <c r="AA18" s="222"/>
      <c r="AB18" s="222"/>
      <c r="AC18" s="222"/>
      <c r="AD18" s="222"/>
      <c r="AE18" s="222"/>
      <c r="AF18" s="222"/>
    </row>
    <row r="19" spans="3:32" ht="14.25">
      <c r="C19" s="121"/>
      <c r="E19" s="223">
        <f aca="true" t="shared" si="2" ref="E19:L19">+SUM(E13:E18)</f>
        <v>21.358667738971988</v>
      </c>
      <c r="F19" s="223">
        <f t="shared" si="2"/>
        <v>21.304698716460553</v>
      </c>
      <c r="G19" s="223">
        <f t="shared" si="2"/>
        <v>23.83416025125727</v>
      </c>
      <c r="H19" s="223">
        <f t="shared" si="2"/>
        <v>24.608531626617335</v>
      </c>
      <c r="I19" s="223">
        <f t="shared" si="2"/>
        <v>26.23635103086948</v>
      </c>
      <c r="J19" s="223">
        <f t="shared" si="2"/>
        <v>26.849410067230117</v>
      </c>
      <c r="K19" s="223">
        <f t="shared" si="2"/>
        <v>27.786248177591784</v>
      </c>
      <c r="L19" s="223">
        <f t="shared" si="2"/>
        <v>28.582384566251267</v>
      </c>
      <c r="M19" s="223"/>
      <c r="N19" s="223"/>
      <c r="O19" s="223"/>
      <c r="P19" s="223"/>
      <c r="Q19" s="223"/>
      <c r="R19" s="223"/>
      <c r="S19" s="223"/>
      <c r="T19" s="223"/>
      <c r="U19" s="223"/>
      <c r="V19" s="223"/>
      <c r="W19" s="223"/>
      <c r="X19" s="223"/>
      <c r="Y19" s="223"/>
      <c r="Z19" s="223"/>
      <c r="AA19" s="223"/>
      <c r="AB19" s="223"/>
      <c r="AC19" s="223"/>
      <c r="AD19" s="223"/>
      <c r="AE19" s="223"/>
      <c r="AF19" s="223"/>
    </row>
    <row r="20" spans="2:32" ht="14.25">
      <c r="B20" s="122" t="s">
        <v>1</v>
      </c>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row>
    <row r="21" spans="2:32" ht="14.25">
      <c r="B21" s="129" t="s">
        <v>758</v>
      </c>
      <c r="C21" s="77"/>
      <c r="E21" s="222">
        <v>0</v>
      </c>
      <c r="F21" s="222">
        <v>0</v>
      </c>
      <c r="G21" s="222">
        <v>0</v>
      </c>
      <c r="H21" s="224">
        <v>0</v>
      </c>
      <c r="I21" s="224">
        <v>0</v>
      </c>
      <c r="J21" s="224">
        <v>0</v>
      </c>
      <c r="K21" s="224">
        <v>0</v>
      </c>
      <c r="L21" s="224">
        <v>0</v>
      </c>
      <c r="M21" s="222"/>
      <c r="N21" s="222"/>
      <c r="O21" s="222"/>
      <c r="P21" s="222"/>
      <c r="Q21" s="222"/>
      <c r="R21" s="222"/>
      <c r="S21" s="222"/>
      <c r="T21" s="222"/>
      <c r="U21" s="222"/>
      <c r="V21" s="222"/>
      <c r="W21" s="222"/>
      <c r="X21" s="222"/>
      <c r="Y21" s="222"/>
      <c r="Z21" s="222"/>
      <c r="AA21" s="222"/>
      <c r="AB21" s="222"/>
      <c r="AC21" s="222"/>
      <c r="AD21" s="222"/>
      <c r="AE21" s="222"/>
      <c r="AF21" s="222"/>
    </row>
    <row r="22" spans="2:32" ht="14.25">
      <c r="B22" s="129" t="s">
        <v>118</v>
      </c>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row>
    <row r="23" spans="2:32" ht="14.25">
      <c r="B23" s="129"/>
      <c r="C23" s="221" t="s">
        <v>761</v>
      </c>
      <c r="E23" s="227">
        <f>+E67*('P&amp;L (Nominal)'!E9+'P&amp;L (Nominal)'!E11+'P&amp;L (Nominal)'!E10)/365</f>
        <v>-19.961983356607163</v>
      </c>
      <c r="F23" s="227">
        <f>+F67*('P&amp;L (Nominal)'!F9+'P&amp;L (Nominal)'!F11+'P&amp;L (Nominal)'!F10)/365</f>
        <v>-19.709954515664553</v>
      </c>
      <c r="G23" s="227">
        <f>+G67*('P&amp;L (Nominal)'!G9+'P&amp;L (Nominal)'!G11+'P&amp;L (Nominal)'!G10)/365</f>
        <v>-24.970573079818006</v>
      </c>
      <c r="H23" s="227">
        <f>+H67*('P&amp;L (Nominal)'!H9+'P&amp;L (Nominal)'!H11+'P&amp;L (Nominal)'!H10)/365</f>
        <v>-26.729603344915787</v>
      </c>
      <c r="I23" s="227">
        <f>+I67*('P&amp;L (Nominal)'!I9+'P&amp;L (Nominal)'!I11+'P&amp;L (Nominal)'!I10)/365</f>
        <v>-28.992147279502376</v>
      </c>
      <c r="J23" s="227">
        <f>+J67*('P&amp;L (Nominal)'!J9+'P&amp;L (Nominal)'!J11+'P&amp;L (Nominal)'!J10)/365</f>
        <v>-28.712758188295894</v>
      </c>
      <c r="K23" s="227">
        <f>+K67*('P&amp;L (Nominal)'!K9+'P&amp;L (Nominal)'!K11+'P&amp;L (Nominal)'!K10)/365</f>
        <v>-29.181383517417935</v>
      </c>
      <c r="L23" s="227">
        <f>+L67*('P&amp;L (Nominal)'!L9+'P&amp;L (Nominal)'!L11+'P&amp;L (Nominal)'!L10)/365</f>
        <v>-29.37298167994466</v>
      </c>
      <c r="M23" s="227"/>
      <c r="N23" s="227"/>
      <c r="O23" s="227"/>
      <c r="P23" s="227"/>
      <c r="Q23" s="227"/>
      <c r="R23" s="227"/>
      <c r="S23" s="227"/>
      <c r="T23" s="227"/>
      <c r="U23" s="227"/>
      <c r="V23" s="227"/>
      <c r="W23" s="227"/>
      <c r="X23" s="227"/>
      <c r="Y23" s="227"/>
      <c r="Z23" s="227"/>
      <c r="AA23" s="227"/>
      <c r="AB23" s="227"/>
      <c r="AC23" s="227"/>
      <c r="AD23" s="227"/>
      <c r="AE23" s="227"/>
      <c r="AF23" s="227"/>
    </row>
    <row r="24" spans="2:32" ht="14.25">
      <c r="B24" s="129"/>
      <c r="C24" s="221" t="s">
        <v>762</v>
      </c>
      <c r="E24" s="228">
        <v>0</v>
      </c>
      <c r="F24" s="228">
        <v>0</v>
      </c>
      <c r="G24" s="228">
        <v>0</v>
      </c>
      <c r="H24" s="229">
        <v>0</v>
      </c>
      <c r="I24" s="229">
        <v>0</v>
      </c>
      <c r="J24" s="229">
        <v>0</v>
      </c>
      <c r="K24" s="229">
        <v>0</v>
      </c>
      <c r="L24" s="229">
        <v>0</v>
      </c>
      <c r="M24" s="228"/>
      <c r="N24" s="228"/>
      <c r="O24" s="228"/>
      <c r="P24" s="228"/>
      <c r="Q24" s="228"/>
      <c r="R24" s="228"/>
      <c r="S24" s="228"/>
      <c r="T24" s="228"/>
      <c r="U24" s="228"/>
      <c r="V24" s="228"/>
      <c r="W24" s="228"/>
      <c r="X24" s="228"/>
      <c r="Y24" s="228"/>
      <c r="Z24" s="228"/>
      <c r="AA24" s="228"/>
      <c r="AB24" s="228"/>
      <c r="AC24" s="228"/>
      <c r="AD24" s="228"/>
      <c r="AE24" s="228"/>
      <c r="AF24" s="228"/>
    </row>
    <row r="25" spans="3:32" ht="14.25">
      <c r="C25" s="121"/>
      <c r="E25" s="222">
        <f>+SUM(E21:E24)</f>
        <v>-19.961983356607163</v>
      </c>
      <c r="F25" s="222">
        <f aca="true" t="shared" si="3" ref="F25:L25">+SUM(F21:F24)</f>
        <v>-19.709954515664553</v>
      </c>
      <c r="G25" s="222">
        <f t="shared" si="3"/>
        <v>-24.970573079818006</v>
      </c>
      <c r="H25" s="222">
        <f t="shared" si="3"/>
        <v>-26.729603344915787</v>
      </c>
      <c r="I25" s="222">
        <f t="shared" si="3"/>
        <v>-28.992147279502376</v>
      </c>
      <c r="J25" s="222">
        <f t="shared" si="3"/>
        <v>-28.712758188295894</v>
      </c>
      <c r="K25" s="222">
        <f t="shared" si="3"/>
        <v>-29.181383517417935</v>
      </c>
      <c r="L25" s="222">
        <f t="shared" si="3"/>
        <v>-29.37298167994466</v>
      </c>
      <c r="M25" s="222"/>
      <c r="N25" s="222"/>
      <c r="O25" s="222"/>
      <c r="P25" s="222"/>
      <c r="Q25" s="222"/>
      <c r="R25" s="222"/>
      <c r="S25" s="222"/>
      <c r="T25" s="222"/>
      <c r="U25" s="222"/>
      <c r="V25" s="222"/>
      <c r="W25" s="222"/>
      <c r="X25" s="222"/>
      <c r="Y25" s="222"/>
      <c r="Z25" s="222"/>
      <c r="AA25" s="222"/>
      <c r="AB25" s="222"/>
      <c r="AC25" s="222"/>
      <c r="AD25" s="222"/>
      <c r="AE25" s="222"/>
      <c r="AF25" s="222"/>
    </row>
    <row r="26" spans="3:32" ht="14.25">
      <c r="C26" s="121"/>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row>
    <row r="27" spans="2:32" ht="14.25">
      <c r="B27" s="69" t="s">
        <v>127</v>
      </c>
      <c r="C27" s="121"/>
      <c r="E27" s="222">
        <f aca="true" t="shared" si="4" ref="E27:L27">+E19+E25</f>
        <v>1.3966843823648247</v>
      </c>
      <c r="F27" s="222">
        <f t="shared" si="4"/>
        <v>1.5947442007960007</v>
      </c>
      <c r="G27" s="222">
        <f t="shared" si="4"/>
        <v>-1.1364128285607364</v>
      </c>
      <c r="H27" s="222">
        <f t="shared" si="4"/>
        <v>-2.1210717182984524</v>
      </c>
      <c r="I27" s="222">
        <f t="shared" si="4"/>
        <v>-2.7557962486328975</v>
      </c>
      <c r="J27" s="222">
        <f t="shared" si="4"/>
        <v>-1.8633481210657763</v>
      </c>
      <c r="K27" s="222">
        <f t="shared" si="4"/>
        <v>-1.395135339826151</v>
      </c>
      <c r="L27" s="222">
        <f t="shared" si="4"/>
        <v>-0.7905971136933942</v>
      </c>
      <c r="M27" s="222"/>
      <c r="N27" s="222"/>
      <c r="O27" s="222"/>
      <c r="P27" s="222"/>
      <c r="Q27" s="222"/>
      <c r="R27" s="222"/>
      <c r="S27" s="222"/>
      <c r="T27" s="222"/>
      <c r="U27" s="222"/>
      <c r="V27" s="222"/>
      <c r="W27" s="222"/>
      <c r="X27" s="222"/>
      <c r="Y27" s="222"/>
      <c r="Z27" s="222"/>
      <c r="AA27" s="222"/>
      <c r="AB27" s="222"/>
      <c r="AC27" s="222"/>
      <c r="AD27" s="222"/>
      <c r="AE27" s="222"/>
      <c r="AF27" s="222"/>
    </row>
    <row r="28" spans="3:32" ht="14.25">
      <c r="C28" s="121"/>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row>
    <row r="29" spans="2:32" ht="14.25">
      <c r="B29" s="69" t="s">
        <v>50</v>
      </c>
      <c r="C29" s="121"/>
      <c r="E29" s="222">
        <f>+E19+E11+E25</f>
        <v>1258.5146843823647</v>
      </c>
      <c r="F29" s="222">
        <f aca="true" t="shared" si="5" ref="F29:L29">+F19+F11+F25</f>
        <v>1231.7408457097108</v>
      </c>
      <c r="G29" s="222">
        <f t="shared" si="5"/>
        <v>1222.1499375815586</v>
      </c>
      <c r="H29" s="222">
        <f t="shared" si="5"/>
        <v>1222.2370153079414</v>
      </c>
      <c r="I29" s="222">
        <f t="shared" si="5"/>
        <v>1222.253298977159</v>
      </c>
      <c r="J29" s="222">
        <f t="shared" si="5"/>
        <v>1212.3953780702197</v>
      </c>
      <c r="K29" s="222">
        <f t="shared" si="5"/>
        <v>1202.519040793496</v>
      </c>
      <c r="L29" s="222">
        <f t="shared" si="5"/>
        <v>1189.2016397560428</v>
      </c>
      <c r="M29" s="222"/>
      <c r="N29" s="222"/>
      <c r="O29" s="222"/>
      <c r="P29" s="222"/>
      <c r="Q29" s="222"/>
      <c r="R29" s="222"/>
      <c r="S29" s="222"/>
      <c r="T29" s="222"/>
      <c r="U29" s="222"/>
      <c r="V29" s="222"/>
      <c r="W29" s="222"/>
      <c r="X29" s="222"/>
      <c r="Y29" s="222"/>
      <c r="Z29" s="222"/>
      <c r="AA29" s="222"/>
      <c r="AB29" s="222"/>
      <c r="AC29" s="222"/>
      <c r="AD29" s="222"/>
      <c r="AE29" s="222"/>
      <c r="AF29" s="222"/>
    </row>
    <row r="30" spans="3:32" ht="14.25">
      <c r="C30" s="121"/>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row>
    <row r="31" spans="2:32" ht="14.25">
      <c r="B31" s="122" t="s">
        <v>139</v>
      </c>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row>
    <row r="32" spans="2:32" ht="14.25">
      <c r="B32" s="129" t="s">
        <v>758</v>
      </c>
      <c r="C32" s="77"/>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row>
    <row r="33" spans="2:32" ht="14.25">
      <c r="B33" s="129"/>
      <c r="C33" s="63" t="s">
        <v>759</v>
      </c>
      <c r="D33" s="70"/>
      <c r="E33" s="222">
        <f>(IF(E4&lt;5.5,+'Cash Flow (nominal)'!F45+F33,IF(E4&lt;6.5,-E58*Input!E57,-'Cash Flow (nominal)'!E45+D33)))+E62</f>
        <v>-799.5432606272975</v>
      </c>
      <c r="F33" s="222">
        <f>(IF(F4&lt;5.5,+'Cash Flow (nominal)'!G45+G33,IF(F4&lt;6.5,-F58*Input!F57,-'Cash Flow (nominal)'!F45+E33)))+F62</f>
        <v>-787.604188192511</v>
      </c>
      <c r="G33" s="224">
        <f>(IF(G4&lt;5.5,+'Cash Flow (nominal)'!H45+H33,IF(G4&lt;6.5,-G58*Input!G58,-'Cash Flow (nominal)'!G45+F33)))+G62</f>
        <v>-818.8580578206315</v>
      </c>
      <c r="H33" s="222">
        <f>(IF(H4&lt;5.5,+'Cash Flow (nominal)'!I45+I33,IF(H4&lt;6.5,-H58*Input!H57,-'Cash Flow (nominal)'!H45+G33)))+H62</f>
        <v>-873.7811506878933</v>
      </c>
      <c r="I33" s="222">
        <f>(IF(I4&lt;5.5,+'Cash Flow (nominal)'!J45+J33,IF(I4&lt;6.5,-I58*Input!I57,-'Cash Flow (nominal)'!I45+H33)))+I62</f>
        <v>-933.2850239134522</v>
      </c>
      <c r="J33" s="222">
        <f>(IF(J4&lt;5.5,+'Cash Flow (nominal)'!K45+K33,IF(J4&lt;6.5,-J58*Input!J57,-'Cash Flow (nominal)'!J45+I33)))+J62</f>
        <v>-979.4340867577853</v>
      </c>
      <c r="K33" s="222">
        <f>(IF(K4&lt;5.5,+'Cash Flow (nominal)'!L45+L33,IF(K4&lt;6.5,-K58*Input!K57,-'Cash Flow (nominal)'!K45+J33)))+K62</f>
        <v>-1023.8024876265308</v>
      </c>
      <c r="L33" s="222">
        <f>(IF(L4&lt;5.5,+'Cash Flow (nominal)'!#REF!+#REF!,IF(L4&lt;6.5,-L58*Input!L57,-'Cash Flow (nominal)'!L45+K33)))+L62</f>
        <v>-1062.421055669716</v>
      </c>
      <c r="M33" s="222"/>
      <c r="N33" s="222"/>
      <c r="O33" s="222"/>
      <c r="P33" s="222"/>
      <c r="Q33" s="222"/>
      <c r="R33" s="222"/>
      <c r="S33" s="222"/>
      <c r="T33" s="222"/>
      <c r="U33" s="222"/>
      <c r="V33" s="222"/>
      <c r="W33" s="222"/>
      <c r="X33" s="222"/>
      <c r="Y33" s="222"/>
      <c r="Z33" s="222"/>
      <c r="AA33" s="222"/>
      <c r="AB33" s="222"/>
      <c r="AC33" s="222"/>
      <c r="AD33" s="222"/>
      <c r="AE33" s="222"/>
      <c r="AF33" s="222"/>
    </row>
    <row r="34" spans="2:32" ht="14.25">
      <c r="B34" s="129"/>
      <c r="C34" s="221" t="s">
        <v>760</v>
      </c>
      <c r="D34" s="70"/>
      <c r="E34" s="222">
        <v>0</v>
      </c>
      <c r="F34" s="222">
        <v>0</v>
      </c>
      <c r="G34" s="222">
        <v>0</v>
      </c>
      <c r="H34" s="224">
        <v>0</v>
      </c>
      <c r="I34" s="224">
        <v>0</v>
      </c>
      <c r="J34" s="224">
        <v>0</v>
      </c>
      <c r="K34" s="224">
        <v>0</v>
      </c>
      <c r="L34" s="224">
        <v>0</v>
      </c>
      <c r="M34" s="222"/>
      <c r="N34" s="222"/>
      <c r="O34" s="222"/>
      <c r="P34" s="222"/>
      <c r="Q34" s="222"/>
      <c r="R34" s="222"/>
      <c r="S34" s="222"/>
      <c r="T34" s="222"/>
      <c r="U34" s="222"/>
      <c r="V34" s="222"/>
      <c r="W34" s="222"/>
      <c r="X34" s="222"/>
      <c r="Y34" s="222"/>
      <c r="Z34" s="222"/>
      <c r="AA34" s="222"/>
      <c r="AB34" s="222"/>
      <c r="AC34" s="222"/>
      <c r="AD34" s="222"/>
      <c r="AE34" s="222"/>
      <c r="AF34" s="222"/>
    </row>
    <row r="35" spans="2:32" ht="14.25">
      <c r="B35" s="129" t="s">
        <v>118</v>
      </c>
      <c r="D35" s="70"/>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row>
    <row r="36" spans="2:32" ht="14.25">
      <c r="B36" s="129"/>
      <c r="C36" s="63" t="s">
        <v>763</v>
      </c>
      <c r="D36" s="70"/>
      <c r="E36" s="228">
        <v>0</v>
      </c>
      <c r="F36" s="228">
        <v>0</v>
      </c>
      <c r="G36" s="228">
        <v>0</v>
      </c>
      <c r="H36" s="229">
        <v>0</v>
      </c>
      <c r="I36" s="229">
        <v>0</v>
      </c>
      <c r="J36" s="229">
        <v>0</v>
      </c>
      <c r="K36" s="229">
        <v>0</v>
      </c>
      <c r="L36" s="229">
        <v>0</v>
      </c>
      <c r="M36" s="228"/>
      <c r="N36" s="228"/>
      <c r="O36" s="228"/>
      <c r="P36" s="228"/>
      <c r="Q36" s="228"/>
      <c r="R36" s="228"/>
      <c r="S36" s="228"/>
      <c r="T36" s="228"/>
      <c r="U36" s="228"/>
      <c r="V36" s="228"/>
      <c r="W36" s="228"/>
      <c r="X36" s="228"/>
      <c r="Y36" s="228"/>
      <c r="Z36" s="228"/>
      <c r="AA36" s="228"/>
      <c r="AB36" s="228"/>
      <c r="AC36" s="228"/>
      <c r="AD36" s="228"/>
      <c r="AE36" s="228"/>
      <c r="AF36" s="228"/>
    </row>
    <row r="37" spans="2:32" ht="14.25">
      <c r="B37" s="129"/>
      <c r="C37" s="77"/>
      <c r="D37" s="70"/>
      <c r="E37" s="222">
        <f aca="true" t="shared" si="6" ref="E37:L37">+SUM(E33:E36)</f>
        <v>-799.5432606272975</v>
      </c>
      <c r="F37" s="222">
        <f t="shared" si="6"/>
        <v>-787.604188192511</v>
      </c>
      <c r="G37" s="222">
        <f t="shared" si="6"/>
        <v>-818.8580578206315</v>
      </c>
      <c r="H37" s="222">
        <f t="shared" si="6"/>
        <v>-873.7811506878933</v>
      </c>
      <c r="I37" s="222">
        <f t="shared" si="6"/>
        <v>-933.2850239134522</v>
      </c>
      <c r="J37" s="222">
        <f t="shared" si="6"/>
        <v>-979.4340867577853</v>
      </c>
      <c r="K37" s="222">
        <f t="shared" si="6"/>
        <v>-1023.8024876265308</v>
      </c>
      <c r="L37" s="222">
        <f t="shared" si="6"/>
        <v>-1062.421055669716</v>
      </c>
      <c r="M37" s="222"/>
      <c r="N37" s="222"/>
      <c r="O37" s="222"/>
      <c r="P37" s="222"/>
      <c r="Q37" s="222"/>
      <c r="R37" s="222"/>
      <c r="S37" s="222"/>
      <c r="T37" s="222"/>
      <c r="U37" s="222"/>
      <c r="V37" s="222"/>
      <c r="W37" s="222"/>
      <c r="X37" s="222"/>
      <c r="Y37" s="222"/>
      <c r="Z37" s="222"/>
      <c r="AA37" s="222"/>
      <c r="AB37" s="222"/>
      <c r="AC37" s="222"/>
      <c r="AD37" s="222"/>
      <c r="AE37" s="222"/>
      <c r="AF37" s="222"/>
    </row>
    <row r="38" spans="2:32" ht="14.25">
      <c r="B38" s="122"/>
      <c r="D38" s="70"/>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row>
    <row r="39" spans="2:32" ht="14.25">
      <c r="B39" s="202" t="s">
        <v>764</v>
      </c>
      <c r="D39" s="70"/>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row>
    <row r="40" spans="2:32" ht="14.25">
      <c r="B40" s="122"/>
      <c r="C40" s="225" t="s">
        <v>765</v>
      </c>
      <c r="D40" s="70"/>
      <c r="E40" s="224">
        <f>-Input!E158</f>
        <v>0</v>
      </c>
      <c r="F40" s="224">
        <f>+E40+'P&amp;L (Nominal)'!F21</f>
        <v>5.034640963691882</v>
      </c>
      <c r="G40" s="224">
        <f>+F40+'P&amp;L (Nominal)'!G21</f>
        <v>12.040765452777482</v>
      </c>
      <c r="H40" s="224">
        <f>+G40+'P&amp;L (Nominal)'!H21</f>
        <v>20.88929928825934</v>
      </c>
      <c r="I40" s="224">
        <f>+H40+'P&amp;L (Nominal)'!I21</f>
        <v>30.73998465679974</v>
      </c>
      <c r="J40" s="222">
        <f>+I40+'P&amp;L (Nominal)'!J21</f>
        <v>39.325369521528984</v>
      </c>
      <c r="K40" s="222">
        <f>+J40+'P&amp;L (Nominal)'!K21</f>
        <v>47.08537530202331</v>
      </c>
      <c r="L40" s="222">
        <f>+K40+'P&amp;L (Nominal)'!L21</f>
        <v>53.832963350983384</v>
      </c>
      <c r="M40" s="222"/>
      <c r="N40" s="222"/>
      <c r="O40" s="222"/>
      <c r="P40" s="222"/>
      <c r="Q40" s="222"/>
      <c r="R40" s="222"/>
      <c r="S40" s="222"/>
      <c r="T40" s="222"/>
      <c r="U40" s="222"/>
      <c r="V40" s="222"/>
      <c r="W40" s="222"/>
      <c r="X40" s="222"/>
      <c r="Y40" s="222"/>
      <c r="Z40" s="222"/>
      <c r="AA40" s="222"/>
      <c r="AB40" s="222"/>
      <c r="AC40" s="222"/>
      <c r="AD40" s="222"/>
      <c r="AE40" s="222"/>
      <c r="AF40" s="222"/>
    </row>
    <row r="41" spans="2:32" ht="14.25">
      <c r="B41" s="122"/>
      <c r="C41" s="225" t="s">
        <v>766</v>
      </c>
      <c r="D41" s="70"/>
      <c r="E41" s="224">
        <f>+'Tax (nominal)'!E20/2</f>
        <v>-1.0866525421828988</v>
      </c>
      <c r="F41" s="224">
        <f>+'Tax (nominal)'!F20/2</f>
        <v>-1.1487486549058485</v>
      </c>
      <c r="G41" s="224">
        <f>+'Tax (nominal)'!G20/2</f>
        <v>0</v>
      </c>
      <c r="H41" s="224">
        <f>+'Tax (nominal)'!H20/2</f>
        <v>0</v>
      </c>
      <c r="I41" s="224">
        <f>+'Tax (nominal)'!I20/2</f>
        <v>0</v>
      </c>
      <c r="J41" s="224">
        <f>+'Tax (nominal)'!J20/2</f>
        <v>0</v>
      </c>
      <c r="K41" s="224">
        <f>+'Tax (nominal)'!K20/2</f>
        <v>0</v>
      </c>
      <c r="L41" s="224">
        <f>+'Tax (nominal)'!L20/2</f>
        <v>0</v>
      </c>
      <c r="M41" s="222"/>
      <c r="N41" s="222"/>
      <c r="O41" s="222"/>
      <c r="P41" s="222"/>
      <c r="Q41" s="222"/>
      <c r="R41" s="222"/>
      <c r="S41" s="222"/>
      <c r="T41" s="222"/>
      <c r="U41" s="222"/>
      <c r="V41" s="222"/>
      <c r="W41" s="222"/>
      <c r="X41" s="222"/>
      <c r="Y41" s="222"/>
      <c r="Z41" s="222"/>
      <c r="AA41" s="222"/>
      <c r="AB41" s="222"/>
      <c r="AC41" s="222"/>
      <c r="AD41" s="222"/>
      <c r="AE41" s="222"/>
      <c r="AF41" s="222"/>
    </row>
    <row r="42" spans="3:32" ht="14.25">
      <c r="C42" s="225" t="s">
        <v>714</v>
      </c>
      <c r="D42" s="70"/>
      <c r="E42" s="224">
        <f>-Input!E137</f>
        <v>-37</v>
      </c>
      <c r="F42" s="224">
        <f>+E42-'Cash Flow (nominal)'!F25</f>
        <v>-37</v>
      </c>
      <c r="G42" s="224">
        <f>+F42-'Cash Flow (nominal)'!G25</f>
        <v>-31.555555555555557</v>
      </c>
      <c r="H42" s="224">
        <f>+G42-'Cash Flow (nominal)'!H25</f>
        <v>-26.111111111111114</v>
      </c>
      <c r="I42" s="224">
        <f>+H42-'Cash Flow (nominal)'!I25</f>
        <v>-20.66666666666667</v>
      </c>
      <c r="J42" s="222">
        <f>+I42-'Cash Flow (nominal)'!J25</f>
        <v>-15.222222222222229</v>
      </c>
      <c r="K42" s="222">
        <f>+J42-'Cash Flow (nominal)'!K25</f>
        <v>-9.777777777777786</v>
      </c>
      <c r="L42" s="222">
        <f>+K42-'Cash Flow (nominal)'!L25</f>
        <v>-4.333333333333342</v>
      </c>
      <c r="M42" s="222"/>
      <c r="N42" s="222"/>
      <c r="O42" s="222"/>
      <c r="P42" s="222"/>
      <c r="Q42" s="222"/>
      <c r="R42" s="222"/>
      <c r="S42" s="222"/>
      <c r="T42" s="222"/>
      <c r="U42" s="222"/>
      <c r="V42" s="222"/>
      <c r="W42" s="222"/>
      <c r="X42" s="222"/>
      <c r="Y42" s="222"/>
      <c r="Z42" s="222"/>
      <c r="AA42" s="222"/>
      <c r="AB42" s="222"/>
      <c r="AC42" s="222"/>
      <c r="AD42" s="222"/>
      <c r="AE42" s="222"/>
      <c r="AF42" s="222"/>
    </row>
    <row r="43" spans="3:32" ht="14.25">
      <c r="C43" s="63" t="s">
        <v>643</v>
      </c>
      <c r="D43" s="70"/>
      <c r="E43" s="224">
        <f>-Input!E161</f>
        <v>19.405</v>
      </c>
      <c r="F43" s="224">
        <f aca="true" t="shared" si="7" ref="F43:L43">+E43</f>
        <v>19.405</v>
      </c>
      <c r="G43" s="224">
        <f t="shared" si="7"/>
        <v>19.405</v>
      </c>
      <c r="H43" s="224">
        <f t="shared" si="7"/>
        <v>19.405</v>
      </c>
      <c r="I43" s="224">
        <f t="shared" si="7"/>
        <v>19.405</v>
      </c>
      <c r="J43" s="224">
        <f t="shared" si="7"/>
        <v>19.405</v>
      </c>
      <c r="K43" s="224">
        <f t="shared" si="7"/>
        <v>19.405</v>
      </c>
      <c r="L43" s="224">
        <f t="shared" si="7"/>
        <v>19.405</v>
      </c>
      <c r="M43" s="222"/>
      <c r="N43" s="222"/>
      <c r="O43" s="222"/>
      <c r="P43" s="222"/>
      <c r="Q43" s="222"/>
      <c r="R43" s="222"/>
      <c r="S43" s="222"/>
      <c r="T43" s="222"/>
      <c r="U43" s="222"/>
      <c r="V43" s="222"/>
      <c r="W43" s="222"/>
      <c r="X43" s="222"/>
      <c r="Y43" s="222"/>
      <c r="Z43" s="222"/>
      <c r="AA43" s="222"/>
      <c r="AB43" s="222"/>
      <c r="AC43" s="222"/>
      <c r="AD43" s="222"/>
      <c r="AE43" s="222"/>
      <c r="AF43" s="222"/>
    </row>
    <row r="44" spans="3:32" ht="14.25">
      <c r="C44" s="63" t="s">
        <v>644</v>
      </c>
      <c r="D44" s="70"/>
      <c r="E44" s="224">
        <f>-Input!E162</f>
        <v>0.162</v>
      </c>
      <c r="F44" s="224">
        <f>-Input!F162</f>
        <v>0</v>
      </c>
      <c r="G44" s="224">
        <f>-Input!G162</f>
        <v>0</v>
      </c>
      <c r="H44" s="224">
        <f aca="true" t="shared" si="8" ref="H44:L45">G44</f>
        <v>0</v>
      </c>
      <c r="I44" s="224">
        <f t="shared" si="8"/>
        <v>0</v>
      </c>
      <c r="J44" s="224">
        <f t="shared" si="8"/>
        <v>0</v>
      </c>
      <c r="K44" s="224">
        <f t="shared" si="8"/>
        <v>0</v>
      </c>
      <c r="L44" s="224">
        <f t="shared" si="8"/>
        <v>0</v>
      </c>
      <c r="M44" s="222"/>
      <c r="N44" s="222"/>
      <c r="O44" s="222"/>
      <c r="P44" s="222"/>
      <c r="Q44" s="222"/>
      <c r="R44" s="222"/>
      <c r="S44" s="222"/>
      <c r="T44" s="222"/>
      <c r="U44" s="222"/>
      <c r="V44" s="222"/>
      <c r="W44" s="222"/>
      <c r="X44" s="222"/>
      <c r="Y44" s="222"/>
      <c r="Z44" s="222"/>
      <c r="AA44" s="222"/>
      <c r="AB44" s="222"/>
      <c r="AC44" s="222"/>
      <c r="AD44" s="222"/>
      <c r="AE44" s="222"/>
      <c r="AF44" s="222"/>
    </row>
    <row r="45" spans="3:32" ht="14.25">
      <c r="C45" s="63" t="s">
        <v>117</v>
      </c>
      <c r="D45" s="70"/>
      <c r="E45" s="224">
        <f>-Input!E163</f>
        <v>52.404</v>
      </c>
      <c r="F45" s="224">
        <f>-Input!F163</f>
        <v>39.979</v>
      </c>
      <c r="G45" s="224">
        <f>-Input!G163</f>
        <v>34.021</v>
      </c>
      <c r="H45" s="224">
        <f t="shared" si="8"/>
        <v>34.021</v>
      </c>
      <c r="I45" s="224">
        <f t="shared" si="8"/>
        <v>34.021</v>
      </c>
      <c r="J45" s="224">
        <f t="shared" si="8"/>
        <v>34.021</v>
      </c>
      <c r="K45" s="224">
        <f t="shared" si="8"/>
        <v>34.021</v>
      </c>
      <c r="L45" s="224">
        <f t="shared" si="8"/>
        <v>34.021</v>
      </c>
      <c r="M45" s="222"/>
      <c r="N45" s="222"/>
      <c r="O45" s="222"/>
      <c r="P45" s="222"/>
      <c r="Q45" s="222"/>
      <c r="R45" s="222"/>
      <c r="S45" s="222"/>
      <c r="T45" s="222"/>
      <c r="U45" s="222"/>
      <c r="V45" s="222"/>
      <c r="W45" s="222"/>
      <c r="X45" s="222"/>
      <c r="Y45" s="222"/>
      <c r="Z45" s="222"/>
      <c r="AA45" s="222"/>
      <c r="AB45" s="222"/>
      <c r="AC45" s="222"/>
      <c r="AD45" s="222"/>
      <c r="AE45" s="222"/>
      <c r="AF45" s="222"/>
    </row>
    <row r="46" spans="3:32" ht="14.25">
      <c r="C46" s="121"/>
      <c r="D46" s="70"/>
      <c r="E46" s="223">
        <f aca="true" t="shared" si="9" ref="E46:L46">+SUM(E40:E45)</f>
        <v>33.88434745781711</v>
      </c>
      <c r="F46" s="223">
        <f t="shared" si="9"/>
        <v>26.269892308786034</v>
      </c>
      <c r="G46" s="223">
        <f t="shared" si="9"/>
        <v>33.91120989722192</v>
      </c>
      <c r="H46" s="223">
        <f t="shared" si="9"/>
        <v>48.204188177148225</v>
      </c>
      <c r="I46" s="223">
        <f t="shared" si="9"/>
        <v>63.49931799013307</v>
      </c>
      <c r="J46" s="223">
        <f t="shared" si="9"/>
        <v>77.52914729930676</v>
      </c>
      <c r="K46" s="223">
        <f t="shared" si="9"/>
        <v>90.73359752424552</v>
      </c>
      <c r="L46" s="223">
        <f t="shared" si="9"/>
        <v>102.92563001765005</v>
      </c>
      <c r="M46" s="223"/>
      <c r="N46" s="223"/>
      <c r="O46" s="223"/>
      <c r="P46" s="223"/>
      <c r="Q46" s="223"/>
      <c r="R46" s="223"/>
      <c r="S46" s="223"/>
      <c r="T46" s="223"/>
      <c r="U46" s="223"/>
      <c r="V46" s="223"/>
      <c r="W46" s="223"/>
      <c r="X46" s="223"/>
      <c r="Y46" s="223"/>
      <c r="Z46" s="223"/>
      <c r="AA46" s="223"/>
      <c r="AB46" s="223"/>
      <c r="AC46" s="223"/>
      <c r="AD46" s="223"/>
      <c r="AE46" s="223"/>
      <c r="AF46" s="223"/>
    </row>
    <row r="47" spans="3:32" ht="14.25">
      <c r="C47" s="121"/>
      <c r="D47" s="70"/>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row>
    <row r="48" spans="2:32" ht="15" thickBot="1">
      <c r="B48" s="122" t="s">
        <v>4</v>
      </c>
      <c r="D48" s="70"/>
      <c r="E48" s="230">
        <f>+E46+E37+E29</f>
        <v>492.8557712128843</v>
      </c>
      <c r="F48" s="230">
        <f aca="true" t="shared" si="10" ref="F48:L48">+F46+F37+F29</f>
        <v>470.40654982598585</v>
      </c>
      <c r="G48" s="230">
        <f t="shared" si="10"/>
        <v>437.203089658149</v>
      </c>
      <c r="H48" s="230">
        <f t="shared" si="10"/>
        <v>396.6600527971964</v>
      </c>
      <c r="I48" s="230">
        <f t="shared" si="10"/>
        <v>352.4675930538398</v>
      </c>
      <c r="J48" s="230">
        <f t="shared" si="10"/>
        <v>310.4904386117412</v>
      </c>
      <c r="K48" s="230">
        <f t="shared" si="10"/>
        <v>269.45015069121075</v>
      </c>
      <c r="L48" s="230">
        <f t="shared" si="10"/>
        <v>229.7062141039769</v>
      </c>
      <c r="M48" s="230"/>
      <c r="N48" s="230"/>
      <c r="O48" s="230"/>
      <c r="P48" s="230"/>
      <c r="Q48" s="230"/>
      <c r="R48" s="230"/>
      <c r="S48" s="230"/>
      <c r="T48" s="230"/>
      <c r="U48" s="230"/>
      <c r="V48" s="230"/>
      <c r="W48" s="230"/>
      <c r="X48" s="230"/>
      <c r="Y48" s="230"/>
      <c r="Z48" s="230"/>
      <c r="AA48" s="230"/>
      <c r="AB48" s="230"/>
      <c r="AC48" s="230"/>
      <c r="AD48" s="230"/>
      <c r="AE48" s="230"/>
      <c r="AF48" s="230"/>
    </row>
    <row r="49" spans="3:32" ht="15" thickTop="1">
      <c r="C49" s="122"/>
      <c r="D49" s="70"/>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row>
    <row r="50" spans="2:32" ht="14.25">
      <c r="B50" s="69" t="s">
        <v>119</v>
      </c>
      <c r="C50" s="122"/>
      <c r="D50" s="70"/>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row>
    <row r="51" spans="3:32" ht="14.25">
      <c r="C51" s="231" t="s">
        <v>112</v>
      </c>
      <c r="D51" s="70"/>
      <c r="E51" s="222">
        <f>+Input!E165</f>
        <v>30.675</v>
      </c>
      <c r="F51" s="222">
        <f aca="true" t="shared" si="11" ref="F51:L51">+E51</f>
        <v>30.675</v>
      </c>
      <c r="G51" s="222">
        <f t="shared" si="11"/>
        <v>30.675</v>
      </c>
      <c r="H51" s="222">
        <f t="shared" si="11"/>
        <v>30.675</v>
      </c>
      <c r="I51" s="222">
        <f t="shared" si="11"/>
        <v>30.675</v>
      </c>
      <c r="J51" s="222">
        <f t="shared" si="11"/>
        <v>30.675</v>
      </c>
      <c r="K51" s="222">
        <f t="shared" si="11"/>
        <v>30.675</v>
      </c>
      <c r="L51" s="222">
        <f t="shared" si="11"/>
        <v>30.675</v>
      </c>
      <c r="M51" s="222"/>
      <c r="N51" s="222"/>
      <c r="O51" s="222"/>
      <c r="P51" s="222"/>
      <c r="Q51" s="222"/>
      <c r="R51" s="222"/>
      <c r="S51" s="222"/>
      <c r="T51" s="222"/>
      <c r="U51" s="222"/>
      <c r="V51" s="222"/>
      <c r="W51" s="222"/>
      <c r="X51" s="222"/>
      <c r="Y51" s="222"/>
      <c r="Z51" s="222"/>
      <c r="AA51" s="222"/>
      <c r="AB51" s="222"/>
      <c r="AC51" s="222"/>
      <c r="AD51" s="222"/>
      <c r="AE51" s="222"/>
      <c r="AF51" s="222"/>
    </row>
    <row r="52" spans="3:32" ht="14.25">
      <c r="C52" s="231" t="s">
        <v>113</v>
      </c>
      <c r="D52" s="172"/>
      <c r="E52" s="222">
        <f>+Input!E166</f>
        <v>-90.053</v>
      </c>
      <c r="F52" s="222">
        <f>+E52+IF(Input!$E$169=1,'P&amp;L (Nominal)'!F24,0)</f>
        <v>-112.50222138689846</v>
      </c>
      <c r="G52" s="222">
        <f>+F52+IF(Input!$E$169=1,'P&amp;L (Nominal)'!G24,0)</f>
        <v>-145.70568155473558</v>
      </c>
      <c r="H52" s="222">
        <f>+G52+IF(Input!$E$169=1,'P&amp;L (Nominal)'!H24,0)</f>
        <v>-186.24871841568807</v>
      </c>
      <c r="I52" s="222">
        <f>+H52+IF(Input!$E$169=1,'P&amp;L (Nominal)'!I24,0)</f>
        <v>-230.4411781590444</v>
      </c>
      <c r="J52" s="222">
        <f>+I52+IF(Input!$E$169=1,'P&amp;L (Nominal)'!J24,0)</f>
        <v>-272.418332601143</v>
      </c>
      <c r="K52" s="222">
        <f>+J52+IF(Input!$E$169=1,'P&amp;L (Nominal)'!K24,0)</f>
        <v>-313.4586205216734</v>
      </c>
      <c r="L52" s="222">
        <f>+K52+IF(Input!$E$169=1,'P&amp;L (Nominal)'!L24,0)</f>
        <v>-353.20255710890746</v>
      </c>
      <c r="M52" s="222"/>
      <c r="N52" s="222"/>
      <c r="O52" s="222"/>
      <c r="P52" s="222"/>
      <c r="Q52" s="222"/>
      <c r="R52" s="222"/>
      <c r="S52" s="222"/>
      <c r="T52" s="222"/>
      <c r="U52" s="222"/>
      <c r="V52" s="222"/>
      <c r="W52" s="222"/>
      <c r="X52" s="222"/>
      <c r="Y52" s="222"/>
      <c r="Z52" s="222"/>
      <c r="AA52" s="222"/>
      <c r="AB52" s="222"/>
      <c r="AC52" s="222"/>
      <c r="AD52" s="222"/>
      <c r="AE52" s="222"/>
      <c r="AF52" s="222"/>
    </row>
    <row r="53" spans="3:32" ht="14.25">
      <c r="C53" s="231" t="s">
        <v>114</v>
      </c>
      <c r="D53" s="70"/>
      <c r="E53" s="222">
        <f>+E48-E51-E52</f>
        <v>552.2337712128842</v>
      </c>
      <c r="F53" s="222">
        <f>+E53+IF(Input!$E$169=2,'P&amp;L (Nominal)'!F24,0)</f>
        <v>552.2337712128842</v>
      </c>
      <c r="G53" s="222">
        <f>+F53+IF(Input!$E$169=2,'P&amp;L (Nominal)'!G24,0)</f>
        <v>552.2337712128842</v>
      </c>
      <c r="H53" s="222">
        <f>+G53+IF(Input!$E$169=2,'P&amp;L (Nominal)'!H24,0)</f>
        <v>552.2337712128842</v>
      </c>
      <c r="I53" s="222">
        <f>+H53+IF(Input!$E$169=2,'P&amp;L (Nominal)'!I24,0)</f>
        <v>552.2337712128842</v>
      </c>
      <c r="J53" s="222">
        <f>+I53+IF(Input!$E$169=2,'P&amp;L (Nominal)'!J24,0)</f>
        <v>552.2337712128842</v>
      </c>
      <c r="K53" s="222">
        <f>+J53+IF(Input!$E$169=2,'P&amp;L (Nominal)'!K24,0)</f>
        <v>552.2337712128842</v>
      </c>
      <c r="L53" s="222">
        <f>+K53+IF(Input!$E$169=2,'P&amp;L (Nominal)'!L24,0)</f>
        <v>552.2337712128842</v>
      </c>
      <c r="M53" s="222"/>
      <c r="N53" s="222"/>
      <c r="O53" s="222"/>
      <c r="P53" s="222"/>
      <c r="Q53" s="222"/>
      <c r="R53" s="222"/>
      <c r="S53" s="222"/>
      <c r="T53" s="222"/>
      <c r="U53" s="222"/>
      <c r="V53" s="222"/>
      <c r="W53" s="222"/>
      <c r="X53" s="222"/>
      <c r="Y53" s="222"/>
      <c r="Z53" s="222"/>
      <c r="AA53" s="222"/>
      <c r="AB53" s="222"/>
      <c r="AC53" s="222"/>
      <c r="AD53" s="222"/>
      <c r="AE53" s="222"/>
      <c r="AF53" s="222"/>
    </row>
    <row r="54" spans="3:32" ht="15" thickBot="1">
      <c r="C54" s="122"/>
      <c r="D54" s="70"/>
      <c r="E54" s="230">
        <f aca="true" t="shared" si="12" ref="E54:L54">+SUM(E51:E53)</f>
        <v>492.85577121288424</v>
      </c>
      <c r="F54" s="230">
        <f t="shared" si="12"/>
        <v>470.40654982598573</v>
      </c>
      <c r="G54" s="230">
        <f t="shared" si="12"/>
        <v>437.20308965814866</v>
      </c>
      <c r="H54" s="230">
        <f t="shared" si="12"/>
        <v>396.66005279719616</v>
      </c>
      <c r="I54" s="230">
        <f t="shared" si="12"/>
        <v>352.46759305383983</v>
      </c>
      <c r="J54" s="230">
        <f t="shared" si="12"/>
        <v>310.49043861174124</v>
      </c>
      <c r="K54" s="230">
        <f t="shared" si="12"/>
        <v>269.4501506912108</v>
      </c>
      <c r="L54" s="230">
        <f t="shared" si="12"/>
        <v>229.70621410397678</v>
      </c>
      <c r="M54" s="230"/>
      <c r="N54" s="230"/>
      <c r="O54" s="230"/>
      <c r="P54" s="230"/>
      <c r="Q54" s="230"/>
      <c r="R54" s="230"/>
      <c r="S54" s="230"/>
      <c r="T54" s="230"/>
      <c r="U54" s="230"/>
      <c r="V54" s="230"/>
      <c r="W54" s="230"/>
      <c r="X54" s="230"/>
      <c r="Y54" s="230"/>
      <c r="Z54" s="230"/>
      <c r="AA54" s="230"/>
      <c r="AB54" s="230"/>
      <c r="AC54" s="230"/>
      <c r="AD54" s="230"/>
      <c r="AE54" s="230"/>
      <c r="AF54" s="230"/>
    </row>
    <row r="55" spans="1:34" s="128" customFormat="1" ht="15" thickTop="1">
      <c r="A55" s="463"/>
      <c r="C55" s="232" t="s">
        <v>120</v>
      </c>
      <c r="D55" s="70"/>
      <c r="E55" s="233" t="str">
        <f aca="true" t="shared" si="13" ref="E55:L55">+IF(ABS(E54-E48)&lt;0.1,"ok!","oh no!!!")</f>
        <v>ok!</v>
      </c>
      <c r="F55" s="233" t="str">
        <f>+IF(ABS(F54-F48)&lt;0.1,"ok!","oh no!!!")</f>
        <v>ok!</v>
      </c>
      <c r="G55" s="233" t="str">
        <f t="shared" si="13"/>
        <v>ok!</v>
      </c>
      <c r="H55" s="233" t="str">
        <f t="shared" si="13"/>
        <v>ok!</v>
      </c>
      <c r="I55" s="233" t="str">
        <f t="shared" si="13"/>
        <v>ok!</v>
      </c>
      <c r="J55" s="233" t="str">
        <f t="shared" si="13"/>
        <v>ok!</v>
      </c>
      <c r="K55" s="233" t="str">
        <f t="shared" si="13"/>
        <v>ok!</v>
      </c>
      <c r="L55" s="233" t="str">
        <f t="shared" si="13"/>
        <v>ok!</v>
      </c>
      <c r="M55" s="233"/>
      <c r="N55" s="233"/>
      <c r="O55" s="233"/>
      <c r="P55" s="233"/>
      <c r="Q55" s="233"/>
      <c r="R55" s="233"/>
      <c r="S55" s="233"/>
      <c r="T55" s="233"/>
      <c r="U55" s="233"/>
      <c r="V55" s="233"/>
      <c r="W55" s="233"/>
      <c r="X55" s="233"/>
      <c r="Y55" s="233"/>
      <c r="Z55" s="233"/>
      <c r="AA55" s="233"/>
      <c r="AB55" s="233"/>
      <c r="AC55" s="233"/>
      <c r="AD55" s="233"/>
      <c r="AE55" s="233"/>
      <c r="AF55" s="233"/>
      <c r="AH55" s="234"/>
    </row>
    <row r="56" spans="3:32" ht="14.25">
      <c r="C56" s="122"/>
      <c r="D56" s="70"/>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row>
    <row r="57" spans="3:32" ht="14.25">
      <c r="C57" s="122" t="s">
        <v>572</v>
      </c>
      <c r="D57" s="70"/>
      <c r="E57" s="222">
        <f>+E33+E34+E16+E21</f>
        <v>-799.5432606272975</v>
      </c>
      <c r="F57" s="222">
        <f>+F33+F34+F16+F21</f>
        <v>-787.604188192511</v>
      </c>
      <c r="G57" s="222">
        <f aca="true" t="shared" si="14" ref="G57:L57">+G33+G34+G16+G21</f>
        <v>-818.8580578206315</v>
      </c>
      <c r="H57" s="222">
        <f>+H33+H34+H16+H21</f>
        <v>-873.7811506878933</v>
      </c>
      <c r="I57" s="222">
        <f t="shared" si="14"/>
        <v>-933.2850239134522</v>
      </c>
      <c r="J57" s="222">
        <f t="shared" si="14"/>
        <v>-979.4340867577853</v>
      </c>
      <c r="K57" s="222">
        <f t="shared" si="14"/>
        <v>-1023.8024876265308</v>
      </c>
      <c r="L57" s="222">
        <f t="shared" si="14"/>
        <v>-1062.421055669716</v>
      </c>
      <c r="M57" s="222"/>
      <c r="N57" s="222"/>
      <c r="O57" s="222"/>
      <c r="P57" s="222"/>
      <c r="Q57" s="222"/>
      <c r="R57" s="222"/>
      <c r="S57" s="222"/>
      <c r="T57" s="222"/>
      <c r="U57" s="222"/>
      <c r="V57" s="222"/>
      <c r="W57" s="222"/>
      <c r="X57" s="222"/>
      <c r="Y57" s="222"/>
      <c r="Z57" s="222"/>
      <c r="AA57" s="222"/>
      <c r="AB57" s="222"/>
      <c r="AC57" s="222"/>
      <c r="AD57" s="222"/>
      <c r="AE57" s="222"/>
      <c r="AF57" s="222"/>
    </row>
    <row r="58" spans="3:12" ht="14.25">
      <c r="C58" s="122" t="s">
        <v>32</v>
      </c>
      <c r="D58" s="70"/>
      <c r="E58" s="70">
        <f>+NominalRAV!E37</f>
        <v>1189.670979586213</v>
      </c>
      <c r="F58" s="70">
        <f>+NominalRAV!F37</f>
        <v>1252.1696860766915</v>
      </c>
      <c r="G58" s="70">
        <f>+NominalRAV!G37</f>
        <v>1310.1728925130105</v>
      </c>
      <c r="H58" s="70">
        <f>+NominalRAV!H37</f>
        <v>1394.4098627521</v>
      </c>
      <c r="I58" s="70">
        <f>+NominalRAV!I37</f>
        <v>1485.7715767097823</v>
      </c>
      <c r="J58" s="70">
        <f>+NominalRAV!J37</f>
        <v>1565.1392333276026</v>
      </c>
      <c r="K58" s="70">
        <f>+NominalRAV!K37</f>
        <v>1647.0520059981973</v>
      </c>
      <c r="L58" s="70">
        <f>+NominalRAV!L37</f>
        <v>1726.4465760608605</v>
      </c>
    </row>
    <row r="59" spans="3:12" ht="14.25">
      <c r="C59" s="122" t="s">
        <v>752</v>
      </c>
      <c r="D59" s="70"/>
      <c r="E59" s="75">
        <f aca="true" t="shared" si="15" ref="E59:L59">-E57/E58</f>
        <v>0.6720709123335863</v>
      </c>
      <c r="F59" s="75">
        <f t="shared" si="15"/>
        <v>0.6289915791367214</v>
      </c>
      <c r="G59" s="75">
        <f t="shared" si="15"/>
        <v>0.625</v>
      </c>
      <c r="H59" s="75">
        <f t="shared" si="15"/>
        <v>0.6266315048599418</v>
      </c>
      <c r="I59" s="75">
        <f>-I57/I58</f>
        <v>0.6281483900642366</v>
      </c>
      <c r="J59" s="75">
        <f t="shared" si="15"/>
        <v>0.6257808033317492</v>
      </c>
      <c r="K59" s="75">
        <f t="shared" si="15"/>
        <v>0.6215969404111527</v>
      </c>
      <c r="L59" s="75">
        <f t="shared" si="15"/>
        <v>0.6153802095016369</v>
      </c>
    </row>
    <row r="61" spans="7:12" ht="14.25">
      <c r="G61" s="222"/>
      <c r="H61" s="222"/>
      <c r="I61" s="222"/>
      <c r="J61" s="222"/>
      <c r="K61" s="222"/>
      <c r="L61" s="222"/>
    </row>
    <row r="62" spans="3:12" ht="14.25">
      <c r="C62" s="63" t="s">
        <v>3</v>
      </c>
      <c r="E62" s="70"/>
      <c r="F62" s="70"/>
      <c r="G62" s="70"/>
      <c r="H62" s="70">
        <f>-G59*RealRAV!H36*'RPI factors'!H32/'RPI factors'!$E$32*Input!H51*Input!H66</f>
        <v>0</v>
      </c>
      <c r="I62" s="70">
        <f>-H59*RealRAV!I36*'RPI factors'!I32/'RPI factors'!$E$32*Input!I51*Input!I66</f>
        <v>0</v>
      </c>
      <c r="J62" s="70">
        <f>-I59*RealRAV!J36*'RPI factors'!J32/'RPI factors'!$E$32*Input!J51*Input!J66</f>
        <v>0</v>
      </c>
      <c r="K62" s="70">
        <f>-J59*RealRAV!K36*'RPI factors'!K32/'RPI factors'!$E$32*Input!K51*Input!K66</f>
        <v>0</v>
      </c>
      <c r="L62" s="70">
        <f>-K59*RealRAV!L36*'RPI factors'!L32/'RPI factors'!$E$32*Input!L51*Input!L66</f>
        <v>0</v>
      </c>
    </row>
    <row r="64" spans="3:12" ht="14.25">
      <c r="C64" s="63" t="s">
        <v>132</v>
      </c>
      <c r="E64" s="222"/>
      <c r="F64" s="222"/>
      <c r="G64" s="222"/>
      <c r="H64" s="222"/>
      <c r="I64" s="222"/>
      <c r="J64" s="222"/>
      <c r="K64" s="222"/>
      <c r="L64" s="222"/>
    </row>
    <row r="65" spans="3:12" ht="14.25">
      <c r="C65" s="63" t="s">
        <v>133</v>
      </c>
      <c r="E65" s="128">
        <v>3</v>
      </c>
      <c r="F65" s="128">
        <v>3</v>
      </c>
      <c r="G65" s="128">
        <v>3</v>
      </c>
      <c r="H65" s="128">
        <v>3</v>
      </c>
      <c r="I65" s="128">
        <v>3</v>
      </c>
      <c r="J65" s="128">
        <v>3</v>
      </c>
      <c r="K65" s="128">
        <v>3</v>
      </c>
      <c r="L65" s="128">
        <v>3</v>
      </c>
    </row>
    <row r="66" spans="3:12" ht="14.25">
      <c r="C66" s="63" t="s">
        <v>134</v>
      </c>
      <c r="E66" s="128">
        <v>30</v>
      </c>
      <c r="F66" s="128">
        <v>30</v>
      </c>
      <c r="G66" s="128">
        <v>30</v>
      </c>
      <c r="H66" s="128">
        <v>30</v>
      </c>
      <c r="I66" s="128">
        <v>30</v>
      </c>
      <c r="J66" s="128">
        <v>30</v>
      </c>
      <c r="K66" s="128">
        <v>30</v>
      </c>
      <c r="L66" s="128">
        <v>30</v>
      </c>
    </row>
    <row r="67" spans="3:12" ht="14.25">
      <c r="C67" s="63" t="s">
        <v>135</v>
      </c>
      <c r="E67" s="128">
        <v>50</v>
      </c>
      <c r="F67" s="128">
        <v>50</v>
      </c>
      <c r="G67" s="128">
        <v>50</v>
      </c>
      <c r="H67" s="128">
        <v>50</v>
      </c>
      <c r="I67" s="128">
        <v>50</v>
      </c>
      <c r="J67" s="128">
        <v>50</v>
      </c>
      <c r="K67" s="128">
        <v>50</v>
      </c>
      <c r="L67" s="128">
        <v>50</v>
      </c>
    </row>
    <row r="69" ht="14.25">
      <c r="C69" s="63" t="s">
        <v>136</v>
      </c>
    </row>
  </sheetData>
  <hyperlinks>
    <hyperlink ref="A1" location="Input!A1" display="Input!A1"/>
  </hyperlinks>
  <printOptions/>
  <pageMargins left="0.75" right="0.75" top="1" bottom="1" header="0.5" footer="0.5"/>
  <pageSetup fitToHeight="1" fitToWidth="1" horizontalDpi="600" verticalDpi="600" orientation="portrait" paperSize="9" scale="28" r:id="rId1"/>
</worksheet>
</file>

<file path=xl/worksheets/sheet25.xml><?xml version="1.0" encoding="utf-8"?>
<worksheet xmlns="http://schemas.openxmlformats.org/spreadsheetml/2006/main" xmlns:r="http://schemas.openxmlformats.org/officeDocument/2006/relationships">
  <sheetPr codeName="Sheet6"/>
  <dimension ref="A1:L50"/>
  <sheetViews>
    <sheetView zoomScale="60" zoomScaleNormal="60" workbookViewId="0" topLeftCell="A1">
      <selection activeCell="I20" sqref="I19:I20"/>
    </sheetView>
  </sheetViews>
  <sheetFormatPr defaultColWidth="9.00390625" defaultRowHeight="15"/>
  <cols>
    <col min="1" max="1" width="2.625" style="71" customWidth="1"/>
    <col min="2" max="2" width="2.625" style="63" customWidth="1"/>
    <col min="3" max="3" width="48.00390625" style="63" customWidth="1"/>
    <col min="4" max="4" width="2.375" style="63" customWidth="1"/>
    <col min="5" max="5" width="11.25390625" style="63" customWidth="1"/>
    <col min="6" max="7" width="9.00390625" style="63" customWidth="1"/>
    <col min="8" max="8" width="9.75390625" style="63" bestFit="1" customWidth="1"/>
    <col min="9" max="16384" width="9.00390625" style="63" customWidth="1"/>
  </cols>
  <sheetData>
    <row r="1" spans="1:3" ht="29.25">
      <c r="A1" s="462" t="str">
        <f>+'GDN data output sheet'!C4</f>
        <v>Wales &amp; West</v>
      </c>
      <c r="C1" s="65"/>
    </row>
    <row r="2" ht="14.25">
      <c r="A2" s="216" t="s">
        <v>150</v>
      </c>
    </row>
    <row r="3" spans="3:12" ht="14.25">
      <c r="C3" s="63" t="s">
        <v>783</v>
      </c>
      <c r="E3" s="66">
        <v>38807</v>
      </c>
      <c r="F3" s="66">
        <v>39172</v>
      </c>
      <c r="G3" s="66">
        <v>39538</v>
      </c>
      <c r="H3" s="66">
        <v>39903</v>
      </c>
      <c r="I3" s="66">
        <v>40268</v>
      </c>
      <c r="J3" s="66">
        <v>40633</v>
      </c>
      <c r="K3" s="66">
        <v>40999</v>
      </c>
      <c r="L3" s="66">
        <v>41364</v>
      </c>
    </row>
    <row r="4" spans="1:12" ht="14.25">
      <c r="A4" s="100"/>
      <c r="B4" s="67"/>
      <c r="C4" s="67" t="s">
        <v>82</v>
      </c>
      <c r="D4" s="67"/>
      <c r="E4" s="68">
        <v>4</v>
      </c>
      <c r="F4" s="68">
        <f>E4+1</f>
        <v>5</v>
      </c>
      <c r="G4" s="68">
        <f aca="true" t="shared" si="0" ref="G4:L4">F4+1</f>
        <v>6</v>
      </c>
      <c r="H4" s="68">
        <f t="shared" si="0"/>
        <v>7</v>
      </c>
      <c r="I4" s="68">
        <f t="shared" si="0"/>
        <v>8</v>
      </c>
      <c r="J4" s="68">
        <f t="shared" si="0"/>
        <v>9</v>
      </c>
      <c r="K4" s="68">
        <f t="shared" si="0"/>
        <v>10</v>
      </c>
      <c r="L4" s="68">
        <f t="shared" si="0"/>
        <v>11</v>
      </c>
    </row>
    <row r="5" spans="1:12" ht="14.25">
      <c r="A5" s="98"/>
      <c r="B5" s="129"/>
      <c r="C5" s="129"/>
      <c r="D5" s="129"/>
      <c r="E5" s="129"/>
      <c r="F5" s="129"/>
      <c r="G5" s="129"/>
      <c r="H5" s="129"/>
      <c r="I5" s="129"/>
      <c r="J5" s="129"/>
      <c r="K5" s="129"/>
      <c r="L5" s="129"/>
    </row>
    <row r="6" ht="14.25">
      <c r="A6" s="487" t="s">
        <v>767</v>
      </c>
    </row>
    <row r="7" ht="14.25">
      <c r="A7" s="488"/>
    </row>
    <row r="8" ht="14.25">
      <c r="B8" s="122" t="s">
        <v>791</v>
      </c>
    </row>
    <row r="9" spans="3:12" ht="14.25">
      <c r="C9" s="121" t="s">
        <v>6</v>
      </c>
      <c r="E9" s="222">
        <f>+'P&amp;L (Nominal)'!E17</f>
        <v>49.37606447060368</v>
      </c>
      <c r="F9" s="222">
        <f>+'P&amp;L (Nominal)'!F17</f>
        <v>45.56535589536255</v>
      </c>
      <c r="G9" s="222">
        <f>+'P&amp;L (Nominal)'!G17</f>
        <v>34.03636121437663</v>
      </c>
      <c r="H9" s="222">
        <f>+'P&amp;L (Nominal)'!H17</f>
        <v>19.649268708473763</v>
      </c>
      <c r="I9" s="222">
        <f>+'P&amp;L (Nominal)'!I17</f>
        <v>19.539792050649986</v>
      </c>
      <c r="J9" s="222">
        <f>+'P&amp;L (Nominal)'!J17</f>
        <v>27.446833797722597</v>
      </c>
      <c r="K9" s="222">
        <f>+'P&amp;L (Nominal)'!K17</f>
        <v>33.23621798130092</v>
      </c>
      <c r="L9" s="222">
        <f>+'P&amp;L (Nominal)'!L17</f>
        <v>39.48633713639022</v>
      </c>
    </row>
    <row r="10" spans="3:12" ht="14.25">
      <c r="C10" s="121" t="s">
        <v>738</v>
      </c>
      <c r="E10" s="208">
        <f>-'P&amp;L (Nominal)'!E13</f>
        <v>38.3</v>
      </c>
      <c r="F10" s="208">
        <f>-'P&amp;L (Nominal)'!F13</f>
        <v>46.12499999999999</v>
      </c>
      <c r="G10" s="208">
        <f>-'P&amp;L (Nominal)'!G13</f>
        <v>48.433812499999995</v>
      </c>
      <c r="H10" s="208">
        <f>-'P&amp;L (Nominal)'!H13</f>
        <v>57.8290265625</v>
      </c>
      <c r="I10" s="208">
        <f>-'P&amp;L (Nominal)'!I13</f>
        <v>59.27475222656249</v>
      </c>
      <c r="J10" s="208">
        <f>-'P&amp;L (Nominal)'!J13</f>
        <v>60.756621032226555</v>
      </c>
      <c r="K10" s="208">
        <f>-'P&amp;L (Nominal)'!K13</f>
        <v>62.275536558032194</v>
      </c>
      <c r="L10" s="208">
        <f>-'P&amp;L (Nominal)'!L13</f>
        <v>63.832424971983</v>
      </c>
    </row>
    <row r="11" spans="3:12" ht="14.25">
      <c r="C11" s="121" t="s">
        <v>737</v>
      </c>
      <c r="E11" s="208">
        <f>-'P&amp;L (Nominal)'!E14</f>
        <v>0</v>
      </c>
      <c r="F11" s="208">
        <f>-'P&amp;L (Nominal)'!F14</f>
        <v>0</v>
      </c>
      <c r="G11" s="208">
        <f>-'P&amp;L (Nominal)'!G14</f>
        <v>0</v>
      </c>
      <c r="H11" s="208">
        <f>-'P&amp;L (Nominal)'!H14</f>
        <v>0</v>
      </c>
      <c r="I11" s="208">
        <f>-'P&amp;L (Nominal)'!I14</f>
        <v>0</v>
      </c>
      <c r="J11" s="208">
        <f>-'P&amp;L (Nominal)'!J14</f>
        <v>0</v>
      </c>
      <c r="K11" s="208">
        <f>-'P&amp;L (Nominal)'!K14</f>
        <v>0</v>
      </c>
      <c r="L11" s="208">
        <f>-'P&amp;L (Nominal)'!L14</f>
        <v>0</v>
      </c>
    </row>
    <row r="12" spans="3:12" ht="14.25">
      <c r="C12" s="121" t="s">
        <v>673</v>
      </c>
      <c r="E12" s="222">
        <f>-Input!E172</f>
        <v>0</v>
      </c>
      <c r="F12" s="222">
        <f>-Input!F172</f>
        <v>0</v>
      </c>
      <c r="G12" s="222">
        <f>-Input!G172</f>
        <v>0</v>
      </c>
      <c r="H12" s="222">
        <f>-Input!H172</f>
        <v>0</v>
      </c>
      <c r="I12" s="222">
        <f>-Input!I172</f>
        <v>0</v>
      </c>
      <c r="J12" s="222">
        <f>-Input!J172</f>
        <v>0</v>
      </c>
      <c r="K12" s="222">
        <f>-Input!K172</f>
        <v>0</v>
      </c>
      <c r="L12" s="222">
        <f>-Input!L172</f>
        <v>0</v>
      </c>
    </row>
    <row r="13" spans="3:12" ht="14.25">
      <c r="C13" s="121" t="s">
        <v>674</v>
      </c>
      <c r="E13" s="222">
        <f>+'Balance Sheet (nominal)'!D13-'Balance Sheet (nominal)'!E13</f>
        <v>-1.1977190013964298</v>
      </c>
      <c r="F13" s="222">
        <f>+'Balance Sheet (nominal)'!E13-'Balance Sheet (nominal)'!F13</f>
        <v>0.015121730456556515</v>
      </c>
      <c r="G13" s="222">
        <f>+'Balance Sheet (nominal)'!F13-'Balance Sheet (nominal)'!G13</f>
        <v>-0.3156371138492071</v>
      </c>
      <c r="H13" s="222">
        <f>+'Balance Sheet (nominal)'!G13-'Balance Sheet (nominal)'!H13</f>
        <v>-0.10554181590586675</v>
      </c>
      <c r="I13" s="222">
        <f>+'Balance Sheet (nominal)'!H13-'Balance Sheet (nominal)'!I13</f>
        <v>-0.1357526360751955</v>
      </c>
      <c r="J13" s="222">
        <f>+'Balance Sheet (nominal)'!I13-'Balance Sheet (nominal)'!J13</f>
        <v>0.016763345472389224</v>
      </c>
      <c r="K13" s="222">
        <f>+'Balance Sheet (nominal)'!J13-'Balance Sheet (nominal)'!K13</f>
        <v>-0.028117519747322683</v>
      </c>
      <c r="L13" s="222">
        <f>+'Balance Sheet (nominal)'!K13-'Balance Sheet (nominal)'!L13</f>
        <v>-0.011495889751603539</v>
      </c>
    </row>
    <row r="14" spans="3:12" ht="14.25">
      <c r="C14" s="121" t="s">
        <v>675</v>
      </c>
      <c r="E14" s="222">
        <f>+'Balance Sheet (nominal)'!D14-'Balance Sheet (nominal)'!E14</f>
        <v>-20.16094873757556</v>
      </c>
      <c r="F14" s="222">
        <f>+'Balance Sheet (nominal)'!E14-'Balance Sheet (nominal)'!F14</f>
        <v>0.03884729205487858</v>
      </c>
      <c r="G14" s="222">
        <f>+'Balance Sheet (nominal)'!F14-'Balance Sheet (nominal)'!G14</f>
        <v>-2.2138244209475104</v>
      </c>
      <c r="H14" s="222">
        <f>+'Balance Sheet (nominal)'!G14-'Balance Sheet (nominal)'!H14</f>
        <v>-0.6688295594541955</v>
      </c>
      <c r="I14" s="222">
        <f>+'Balance Sheet (nominal)'!H14-'Balance Sheet (nominal)'!I14</f>
        <v>-1.4920667681769508</v>
      </c>
      <c r="J14" s="222">
        <f>+'Balance Sheet (nominal)'!I14-'Balance Sheet (nominal)'!J14</f>
        <v>-0.6298223818330264</v>
      </c>
      <c r="K14" s="222">
        <f>+'Balance Sheet (nominal)'!J14-'Balance Sheet (nominal)'!K14</f>
        <v>-0.9087205906143438</v>
      </c>
      <c r="L14" s="222">
        <f>+'Balance Sheet (nominal)'!K14-'Balance Sheet (nominal)'!L14</f>
        <v>-0.7846404989078799</v>
      </c>
    </row>
    <row r="15" spans="3:12" ht="14.25">
      <c r="C15" s="121" t="s">
        <v>676</v>
      </c>
      <c r="E15" s="222">
        <f>+'Balance Sheet (nominal)'!D15+'Balance Sheet (nominal)'!D18-'Balance Sheet (nominal)'!E15-'Balance Sheet (nominal)'!E18</f>
        <v>0</v>
      </c>
      <c r="F15" s="222">
        <f>+'Balance Sheet (nominal)'!E15+'Balance Sheet (nominal)'!E18-'Balance Sheet (nominal)'!F15-'Balance Sheet (nominal)'!F18</f>
        <v>0</v>
      </c>
      <c r="G15" s="222">
        <f>+'Balance Sheet (nominal)'!F15+'Balance Sheet (nominal)'!F18-'Balance Sheet (nominal)'!G15-'Balance Sheet (nominal)'!G18</f>
        <v>0</v>
      </c>
      <c r="H15" s="222">
        <f>+'Balance Sheet (nominal)'!G15+'Balance Sheet (nominal)'!G18-'Balance Sheet (nominal)'!H15-'Balance Sheet (nominal)'!H18</f>
        <v>0</v>
      </c>
      <c r="I15" s="222">
        <f>+'Balance Sheet (nominal)'!H15+'Balance Sheet (nominal)'!H18-'Balance Sheet (nominal)'!I15-'Balance Sheet (nominal)'!I18</f>
        <v>0</v>
      </c>
      <c r="J15" s="222">
        <f>+'Balance Sheet (nominal)'!I15+'Balance Sheet (nominal)'!I18-'Balance Sheet (nominal)'!J15-'Balance Sheet (nominal)'!J18</f>
        <v>0</v>
      </c>
      <c r="K15" s="222">
        <f>+'Balance Sheet (nominal)'!J15+'Balance Sheet (nominal)'!J18-'Balance Sheet (nominal)'!K15-'Balance Sheet (nominal)'!K18</f>
        <v>0</v>
      </c>
      <c r="L15" s="222">
        <f>+'Balance Sheet (nominal)'!K15+'Balance Sheet (nominal)'!K18-'Balance Sheet (nominal)'!L15-'Balance Sheet (nominal)'!L18</f>
        <v>0</v>
      </c>
    </row>
    <row r="16" spans="3:12" ht="14.25">
      <c r="C16" s="121" t="s">
        <v>677</v>
      </c>
      <c r="E16" s="222">
        <f>+'Balance Sheet (nominal)'!D23-'Balance Sheet (nominal)'!E23</f>
        <v>19.961983356607163</v>
      </c>
      <c r="F16" s="222">
        <f>+'Balance Sheet (nominal)'!E23-'Balance Sheet (nominal)'!F23</f>
        <v>-0.2520288409426108</v>
      </c>
      <c r="G16" s="222">
        <f>+'Balance Sheet (nominal)'!F23-'Balance Sheet (nominal)'!G23</f>
        <v>5.260618564153454</v>
      </c>
      <c r="H16" s="222">
        <f>+'Balance Sheet (nominal)'!G23-'Balance Sheet (nominal)'!H23</f>
        <v>1.7590302650977812</v>
      </c>
      <c r="I16" s="222">
        <f>+'Balance Sheet (nominal)'!H23-'Balance Sheet (nominal)'!I23</f>
        <v>2.2625439345865885</v>
      </c>
      <c r="J16" s="222">
        <f>+'Balance Sheet (nominal)'!I23-'Balance Sheet (nominal)'!J23</f>
        <v>-0.2793890912064825</v>
      </c>
      <c r="K16" s="222">
        <f>+'Balance Sheet (nominal)'!J23-'Balance Sheet (nominal)'!K23</f>
        <v>0.468625329122041</v>
      </c>
      <c r="L16" s="222">
        <f>+'Balance Sheet (nominal)'!K23-'Balance Sheet (nominal)'!L23</f>
        <v>0.19159816252672712</v>
      </c>
    </row>
    <row r="17" spans="3:12" ht="14.25">
      <c r="C17" s="121" t="s">
        <v>750</v>
      </c>
      <c r="E17" s="222">
        <f>+'Balance Sheet (nominal)'!D24-'Balance Sheet (nominal)'!E24</f>
        <v>0</v>
      </c>
      <c r="F17" s="222">
        <f>+'Balance Sheet (nominal)'!E24-'Balance Sheet (nominal)'!F24</f>
        <v>0</v>
      </c>
      <c r="G17" s="222">
        <f>+'Balance Sheet (nominal)'!F24-'Balance Sheet (nominal)'!G24</f>
        <v>0</v>
      </c>
      <c r="H17" s="222">
        <f>+'Balance Sheet (nominal)'!G24-'Balance Sheet (nominal)'!H24</f>
        <v>0</v>
      </c>
      <c r="I17" s="222">
        <f>+'Balance Sheet (nominal)'!H24-'Balance Sheet (nominal)'!I24</f>
        <v>0</v>
      </c>
      <c r="J17" s="222">
        <f>+'Balance Sheet (nominal)'!I24-'Balance Sheet (nominal)'!J24</f>
        <v>0</v>
      </c>
      <c r="K17" s="222">
        <f>+'Balance Sheet (nominal)'!J24-'Balance Sheet (nominal)'!K24</f>
        <v>0</v>
      </c>
      <c r="L17" s="222">
        <f>+'Balance Sheet (nominal)'!K24-'Balance Sheet (nominal)'!L24</f>
        <v>0</v>
      </c>
    </row>
    <row r="18" spans="3:12" ht="14.25">
      <c r="C18" s="121" t="s">
        <v>678</v>
      </c>
      <c r="E18" s="70">
        <f>+'Balance Sheet (nominal)'!D43+'Balance Sheet (nominal)'!D45-'Balance Sheet (nominal)'!E43-'Balance Sheet (nominal)'!E45</f>
        <v>-71.809</v>
      </c>
      <c r="F18" s="70">
        <f>+'Balance Sheet (nominal)'!E43+'Balance Sheet (nominal)'!E45-'Balance Sheet (nominal)'!F43-'Balance Sheet (nominal)'!F45</f>
        <v>12.424999999999997</v>
      </c>
      <c r="G18" s="70">
        <f>+'Balance Sheet (nominal)'!F43+'Balance Sheet (nominal)'!F45-'Balance Sheet (nominal)'!G43-'Balance Sheet (nominal)'!G45</f>
        <v>5.957999999999998</v>
      </c>
      <c r="H18" s="70">
        <f>+'Balance Sheet (nominal)'!G43+'Balance Sheet (nominal)'!G45-'Balance Sheet (nominal)'!H43-'Balance Sheet (nominal)'!H45</f>
        <v>0</v>
      </c>
      <c r="I18" s="70">
        <f>+'Balance Sheet (nominal)'!H43+'Balance Sheet (nominal)'!H45-'Balance Sheet (nominal)'!I43-'Balance Sheet (nominal)'!I45</f>
        <v>0</v>
      </c>
      <c r="J18" s="70">
        <f>+'Balance Sheet (nominal)'!I43+'Balance Sheet (nominal)'!I45-'Balance Sheet (nominal)'!J43-'Balance Sheet (nominal)'!J45</f>
        <v>0</v>
      </c>
      <c r="K18" s="70">
        <f>+'Balance Sheet (nominal)'!J43+'Balance Sheet (nominal)'!J45-'Balance Sheet (nominal)'!K43-'Balance Sheet (nominal)'!K45</f>
        <v>0</v>
      </c>
      <c r="L18" s="70">
        <f>+'Balance Sheet (nominal)'!K43+'Balance Sheet (nominal)'!K45-'Balance Sheet (nominal)'!L43-'Balance Sheet (nominal)'!L45</f>
        <v>0</v>
      </c>
    </row>
    <row r="19" spans="3:12" ht="14.25">
      <c r="C19" s="121" t="s">
        <v>749</v>
      </c>
      <c r="E19" s="70">
        <f>+'Balance Sheet (nominal)'!D36-'Balance Sheet (nominal)'!E36</f>
        <v>0</v>
      </c>
      <c r="F19" s="70">
        <f>+'Balance Sheet (nominal)'!E36-'Balance Sheet (nominal)'!F36</f>
        <v>0</v>
      </c>
      <c r="G19" s="70">
        <f>+'Balance Sheet (nominal)'!F36-'Balance Sheet (nominal)'!G36</f>
        <v>0</v>
      </c>
      <c r="H19" s="70">
        <f>+'Balance Sheet (nominal)'!G36-'Balance Sheet (nominal)'!H36</f>
        <v>0</v>
      </c>
      <c r="I19" s="70">
        <f>+'Balance Sheet (nominal)'!H36-'Balance Sheet (nominal)'!I36</f>
        <v>0</v>
      </c>
      <c r="J19" s="70">
        <f>+'Balance Sheet (nominal)'!I36-'Balance Sheet (nominal)'!J36</f>
        <v>0</v>
      </c>
      <c r="K19" s="70">
        <f>+'Balance Sheet (nominal)'!J36-'Balance Sheet (nominal)'!K36</f>
        <v>0</v>
      </c>
      <c r="L19" s="70">
        <f>+'Balance Sheet (nominal)'!K36-'Balance Sheet (nominal)'!L36</f>
        <v>0</v>
      </c>
    </row>
    <row r="20" spans="3:12" ht="14.25">
      <c r="C20" s="121" t="s">
        <v>736</v>
      </c>
      <c r="E20" s="70">
        <f>+Input!E173+'Balance Sheet (nominal)'!D44-'Balance Sheet (nominal)'!E44</f>
        <v>-0.162</v>
      </c>
      <c r="F20" s="70">
        <f>+Input!F173+'Balance Sheet (nominal)'!E44-'Balance Sheet (nominal)'!F44</f>
        <v>0.162</v>
      </c>
      <c r="G20" s="70">
        <f>+Input!G173+'Balance Sheet (nominal)'!F44-'Balance Sheet (nominal)'!G44</f>
        <v>0</v>
      </c>
      <c r="H20" s="70">
        <f>+Input!H173+'Balance Sheet (nominal)'!G44-'Balance Sheet (nominal)'!H44</f>
        <v>0</v>
      </c>
      <c r="I20" s="70">
        <f>+Input!I173+'Balance Sheet (nominal)'!H44-'Balance Sheet (nominal)'!I44</f>
        <v>0</v>
      </c>
      <c r="J20" s="70">
        <f>+Input!J173+'Balance Sheet (nominal)'!I44-'Balance Sheet (nominal)'!J44</f>
        <v>0</v>
      </c>
      <c r="K20" s="70">
        <f>+Input!K173+'Balance Sheet (nominal)'!J44-'Balance Sheet (nominal)'!K44</f>
        <v>0</v>
      </c>
      <c r="L20" s="70">
        <f>+Input!L173+'Balance Sheet (nominal)'!K44-'Balance Sheet (nominal)'!L44</f>
        <v>0</v>
      </c>
    </row>
    <row r="21" spans="3:12" ht="14.25">
      <c r="C21" s="607" t="s">
        <v>646</v>
      </c>
      <c r="E21" s="223">
        <f aca="true" t="shared" si="1" ref="E21:L21">+SUM(E9:E20)</f>
        <v>14.30838008823884</v>
      </c>
      <c r="F21" s="223">
        <f t="shared" si="1"/>
        <v>104.07929607693137</v>
      </c>
      <c r="G21" s="223">
        <f t="shared" si="1"/>
        <v>91.15933074373336</v>
      </c>
      <c r="H21" s="223">
        <f t="shared" si="1"/>
        <v>78.46295416071148</v>
      </c>
      <c r="I21" s="223">
        <f t="shared" si="1"/>
        <v>79.44926880754691</v>
      </c>
      <c r="J21" s="223">
        <f t="shared" si="1"/>
        <v>87.31100670238203</v>
      </c>
      <c r="K21" s="223">
        <f t="shared" si="1"/>
        <v>95.04354175809348</v>
      </c>
      <c r="L21" s="223">
        <f t="shared" si="1"/>
        <v>102.71422388224047</v>
      </c>
    </row>
    <row r="22" spans="3:12" ht="14.25">
      <c r="C22" s="121"/>
      <c r="E22" s="222"/>
      <c r="F22" s="222"/>
      <c r="G22" s="222"/>
      <c r="H22" s="222"/>
      <c r="I22" s="222"/>
      <c r="J22" s="222"/>
      <c r="K22" s="222"/>
      <c r="L22" s="222"/>
    </row>
    <row r="23" spans="2:12" ht="14.25">
      <c r="B23" s="122" t="s">
        <v>793</v>
      </c>
      <c r="E23" s="222"/>
      <c r="F23" s="222"/>
      <c r="G23" s="222"/>
      <c r="H23" s="222"/>
      <c r="I23" s="222"/>
      <c r="J23" s="222"/>
      <c r="K23" s="222"/>
      <c r="L23" s="222"/>
    </row>
    <row r="24" spans="3:12" ht="14.25">
      <c r="C24" s="121" t="s">
        <v>794</v>
      </c>
      <c r="E24" s="224">
        <f>IF(E4&lt;6.5,-Input!E57*Input!E61*RealRAV!E36,-'Balance Sheet (nominal)'!D59*Input!E61*RealRAV!E36)*RPI2000allnom/RPI00to05</f>
        <v>-52.87537743137943</v>
      </c>
      <c r="F24" s="224">
        <f>IF(F4&lt;6.5,-Input!F57*Input!F61*RealRAV!F36,-'Balance Sheet (nominal)'!E59*Input!F61*RealRAV!F36)*RPI2000allnom/RPI00to05</f>
        <v>-54.68916807496325</v>
      </c>
      <c r="G24" s="224">
        <f>IF(G4&lt;6.5,-Input!G57*Input!G61*RealRAV!G36,-'Balance Sheet (nominal)'!F59*Input!G61*RealRAV!G36)*RPI2000allnom/RPI00to05</f>
        <v>-57.39010951132875</v>
      </c>
      <c r="H24" s="224">
        <f>IF(H4&lt;6.5,-Input!H57*Input!H61*RealRAV!H36,-'Balance Sheet (nominal)'!G59*Input!H61*RealRAV!H36)*RPI2000allnom/RPI00to05</f>
        <v>-51.25117526376614</v>
      </c>
      <c r="I24" s="224">
        <f>IF(I4&lt;6.5,-Input!I57*Input!I61*RealRAV!I36,-'Balance Sheet (nominal)'!H59*Input!I61*RealRAV!I36)*RPI2000allnom/RPI00to05</f>
        <v>-54.72081122400859</v>
      </c>
      <c r="J24" s="224">
        <f>IF(J4&lt;6.5,-Input!J57*Input!J61*RealRAV!J36,-'Balance Sheet (nominal)'!I59*Input!J61*RealRAV!J36)*RPI2000allnom/RPI00to05</f>
        <v>-58.108922600326984</v>
      </c>
      <c r="K24" s="224">
        <f>IF(K4&lt;6.5,-Input!K57*Input!K61*RealRAV!K36,-'Balance Sheet (nominal)'!J59*Input!K61*RealRAV!K36)*RPI2000allnom/RPI00to05</f>
        <v>-60.9505243402092</v>
      </c>
      <c r="L24" s="224">
        <f>IF(L4&lt;6.5,-Input!L57*Input!L61*RealRAV!L36,-'Balance Sheet (nominal)'!K59*Input!L61*RealRAV!L36)*RPI2000allnom/RPI00to05</f>
        <v>-63.58486588267612</v>
      </c>
    </row>
    <row r="25" spans="3:12" ht="14.25">
      <c r="C25" s="121" t="s">
        <v>739</v>
      </c>
      <c r="E25" s="224">
        <f>+'Tax (nominal)'!E11</f>
        <v>0</v>
      </c>
      <c r="F25" s="224">
        <f>+'Tax (nominal)'!F11</f>
        <v>0</v>
      </c>
      <c r="G25" s="224">
        <f>+'Tax (nominal)'!G11</f>
        <v>-5.444444444444444</v>
      </c>
      <c r="H25" s="224">
        <f>+'Tax (nominal)'!H11</f>
        <v>-5.444444444444443</v>
      </c>
      <c r="I25" s="224">
        <f>+'Tax (nominal)'!I11</f>
        <v>-5.444444444444443</v>
      </c>
      <c r="J25" s="224">
        <f>+'Tax (nominal)'!J11</f>
        <v>-5.444444444444444</v>
      </c>
      <c r="K25" s="224">
        <f>+'Tax (nominal)'!K11</f>
        <v>-5.444444444444444</v>
      </c>
      <c r="L25" s="224">
        <f>+'Tax (nominal)'!L11</f>
        <v>-5.444444444444444</v>
      </c>
    </row>
    <row r="26" spans="3:12" ht="14.25">
      <c r="C26" s="607" t="s">
        <v>23</v>
      </c>
      <c r="E26" s="223">
        <f aca="true" t="shared" si="2" ref="E26:L26">+SUM(E24:E25)</f>
        <v>-52.87537743137943</v>
      </c>
      <c r="F26" s="223">
        <f t="shared" si="2"/>
        <v>-54.68916807496325</v>
      </c>
      <c r="G26" s="223">
        <f t="shared" si="2"/>
        <v>-62.834553955773195</v>
      </c>
      <c r="H26" s="223">
        <f t="shared" si="2"/>
        <v>-56.695619708210586</v>
      </c>
      <c r="I26" s="223">
        <f t="shared" si="2"/>
        <v>-60.165255668453035</v>
      </c>
      <c r="J26" s="223">
        <f t="shared" si="2"/>
        <v>-63.55336704477143</v>
      </c>
      <c r="K26" s="223">
        <f t="shared" si="2"/>
        <v>-66.39496878465364</v>
      </c>
      <c r="L26" s="223">
        <f t="shared" si="2"/>
        <v>-69.02931032712057</v>
      </c>
    </row>
    <row r="27" spans="3:12" ht="14.25">
      <c r="C27" s="121"/>
      <c r="E27" s="222"/>
      <c r="F27" s="222"/>
      <c r="G27" s="222"/>
      <c r="H27" s="222"/>
      <c r="I27" s="222"/>
      <c r="J27" s="222"/>
      <c r="K27" s="222"/>
      <c r="L27" s="222"/>
    </row>
    <row r="28" spans="2:12" ht="14.25">
      <c r="B28" s="122" t="s">
        <v>796</v>
      </c>
      <c r="E28" s="222"/>
      <c r="F28" s="222"/>
      <c r="G28" s="222"/>
      <c r="H28" s="222"/>
      <c r="I28" s="222"/>
      <c r="J28" s="222"/>
      <c r="K28" s="222"/>
      <c r="L28" s="222"/>
    </row>
    <row r="29" spans="3:12" ht="14.25">
      <c r="C29" s="121" t="s">
        <v>797</v>
      </c>
      <c r="E29" s="222">
        <f>+'P&amp;L (Nominal)'!E20+'Balance Sheet (nominal)'!D41-'Balance Sheet (nominal)'!E41</f>
        <v>-1.0866525421828988</v>
      </c>
      <c r="F29" s="222">
        <f>+'P&amp;L (Nominal)'!F20+'Balance Sheet (nominal)'!E41-'Balance Sheet (nominal)'!F41</f>
        <v>-2.235401197088764</v>
      </c>
      <c r="G29" s="222">
        <f>+'P&amp;L (Nominal)'!G20+'Balance Sheet (nominal)'!F41-'Balance Sheet (nominal)'!G41</f>
        <v>-1.1487486549058485</v>
      </c>
      <c r="H29" s="222">
        <f>+'P&amp;L (Nominal)'!H20+'Balance Sheet (nominal)'!G41-'Balance Sheet (nominal)'!H41</f>
        <v>0</v>
      </c>
      <c r="I29" s="222">
        <f>+'P&amp;L (Nominal)'!I20+'Balance Sheet (nominal)'!H41-'Balance Sheet (nominal)'!I41</f>
        <v>0</v>
      </c>
      <c r="J29" s="222">
        <f>+'P&amp;L (Nominal)'!J20+'Balance Sheet (nominal)'!I41-'Balance Sheet (nominal)'!J41</f>
        <v>0</v>
      </c>
      <c r="K29" s="222">
        <f>+'P&amp;L (Nominal)'!K20+'Balance Sheet (nominal)'!J41-'Balance Sheet (nominal)'!K41</f>
        <v>0</v>
      </c>
      <c r="L29" s="222">
        <f>+'P&amp;L (Nominal)'!L20+'Balance Sheet (nominal)'!K41-'Balance Sheet (nominal)'!L41</f>
        <v>0</v>
      </c>
    </row>
    <row r="30" spans="3:12" ht="14.25">
      <c r="C30" s="121"/>
      <c r="E30" s="222"/>
      <c r="F30" s="222"/>
      <c r="G30" s="222"/>
      <c r="H30" s="222"/>
      <c r="I30" s="222"/>
      <c r="J30" s="222"/>
      <c r="K30" s="222"/>
      <c r="L30" s="222"/>
    </row>
    <row r="31" spans="2:12" ht="14.25">
      <c r="B31" s="69" t="s">
        <v>128</v>
      </c>
      <c r="C31" s="121"/>
      <c r="E31" s="222"/>
      <c r="F31" s="222"/>
      <c r="G31" s="222"/>
      <c r="H31" s="222"/>
      <c r="I31" s="222"/>
      <c r="J31" s="222"/>
      <c r="K31" s="222"/>
      <c r="L31" s="222"/>
    </row>
    <row r="32" spans="3:12" ht="14.25">
      <c r="C32" s="121" t="s">
        <v>129</v>
      </c>
      <c r="E32" s="222">
        <f>+'P&amp;L (Nominal)'!E23</f>
        <v>-15.239544454395858</v>
      </c>
      <c r="F32" s="222">
        <f>+'P&amp;L (Nominal)'!F23</f>
        <v>-16.062552861178016</v>
      </c>
      <c r="G32" s="222">
        <f>+'P&amp;L (Nominal)'!G23</f>
        <v>-16.855836359970684</v>
      </c>
      <c r="H32" s="222">
        <f>+'P&amp;L (Nominal)'!H23</f>
        <v>-17.789664141141966</v>
      </c>
      <c r="I32" s="222">
        <f>+'P&amp;L (Nominal)'!I23</f>
        <v>-18.86212593853813</v>
      </c>
      <c r="J32" s="222">
        <f>+'P&amp;L (Nominal)'!J23</f>
        <v>-19.900450504223432</v>
      </c>
      <c r="K32" s="222">
        <f>+'P&amp;L (Nominal)'!K23</f>
        <v>-21.085987342116493</v>
      </c>
      <c r="L32" s="222">
        <f>+'P&amp;L (Nominal)'!L23</f>
        <v>-22.392995889908203</v>
      </c>
    </row>
    <row r="33" spans="3:12" ht="14.25">
      <c r="C33" s="121"/>
      <c r="E33" s="222"/>
      <c r="F33" s="222"/>
      <c r="G33" s="222"/>
      <c r="H33" s="222"/>
      <c r="I33" s="222"/>
      <c r="J33" s="222"/>
      <c r="K33" s="222"/>
      <c r="L33" s="222"/>
    </row>
    <row r="34" spans="2:12" ht="14.25">
      <c r="B34" s="122" t="s">
        <v>798</v>
      </c>
      <c r="E34" s="222"/>
      <c r="F34" s="222"/>
      <c r="G34" s="222"/>
      <c r="H34" s="222"/>
      <c r="I34" s="222"/>
      <c r="J34" s="222"/>
      <c r="K34" s="222"/>
      <c r="L34" s="222"/>
    </row>
    <row r="35" spans="3:12" ht="14.25">
      <c r="C35" s="608" t="s">
        <v>742</v>
      </c>
      <c r="E35" s="222">
        <f>+-Input!E174</f>
        <v>0</v>
      </c>
      <c r="F35" s="222">
        <f>+-Input!F174</f>
        <v>-19.15310150891482</v>
      </c>
      <c r="G35" s="222">
        <f>+-Input!G174</f>
        <v>-41.574061401204204</v>
      </c>
      <c r="H35" s="222">
        <f>+-Input!H174</f>
        <v>-58.90076317862068</v>
      </c>
      <c r="I35" s="222">
        <f>+-Input!I174</f>
        <v>-59.9257604261146</v>
      </c>
      <c r="J35" s="222">
        <f>+-Input!J174</f>
        <v>-50.006251997720355</v>
      </c>
      <c r="K35" s="222">
        <f>+-Input!K174</f>
        <v>-51.930986500068855</v>
      </c>
      <c r="L35" s="222">
        <f>+-Input!L174</f>
        <v>-49.91048570839691</v>
      </c>
    </row>
    <row r="36" spans="3:12" ht="14.25">
      <c r="C36" s="121" t="s">
        <v>741</v>
      </c>
      <c r="E36" s="222">
        <f>+Input!E175</f>
        <v>0</v>
      </c>
      <c r="F36" s="222">
        <f>+Input!F175</f>
        <v>0</v>
      </c>
      <c r="G36" s="222">
        <f>+Input!G175</f>
        <v>0</v>
      </c>
      <c r="H36" s="222">
        <f>+Input!H175</f>
        <v>0</v>
      </c>
      <c r="I36" s="222">
        <f>+Input!I175</f>
        <v>0</v>
      </c>
      <c r="J36" s="222">
        <f>+Input!J175</f>
        <v>0</v>
      </c>
      <c r="K36" s="222">
        <f>+Input!K175</f>
        <v>0</v>
      </c>
      <c r="L36" s="222">
        <f>+Input!L175</f>
        <v>0</v>
      </c>
    </row>
    <row r="37" spans="3:12" ht="14.25">
      <c r="C37" s="607" t="s">
        <v>24</v>
      </c>
      <c r="E37" s="223">
        <f aca="true" t="shared" si="3" ref="E37:L37">+E35+E36</f>
        <v>0</v>
      </c>
      <c r="F37" s="223">
        <f t="shared" si="3"/>
        <v>-19.15310150891482</v>
      </c>
      <c r="G37" s="223">
        <f t="shared" si="3"/>
        <v>-41.574061401204204</v>
      </c>
      <c r="H37" s="223">
        <f t="shared" si="3"/>
        <v>-58.90076317862068</v>
      </c>
      <c r="I37" s="223">
        <f t="shared" si="3"/>
        <v>-59.9257604261146</v>
      </c>
      <c r="J37" s="223">
        <f t="shared" si="3"/>
        <v>-50.006251997720355</v>
      </c>
      <c r="K37" s="223">
        <f t="shared" si="3"/>
        <v>-51.930986500068855</v>
      </c>
      <c r="L37" s="223">
        <f t="shared" si="3"/>
        <v>-49.91048570839691</v>
      </c>
    </row>
    <row r="38" spans="3:12" ht="14.25">
      <c r="C38" s="121"/>
      <c r="E38" s="222"/>
      <c r="F38" s="222"/>
      <c r="G38" s="222"/>
      <c r="H38" s="222"/>
      <c r="I38" s="222"/>
      <c r="J38" s="222"/>
      <c r="K38" s="222"/>
      <c r="L38" s="222"/>
    </row>
    <row r="39" spans="3:12" ht="15" thickBot="1">
      <c r="C39" s="122" t="s">
        <v>809</v>
      </c>
      <c r="E39" s="230">
        <f>+E37+E32+E29+E26+E21</f>
        <v>-54.89319433971934</v>
      </c>
      <c r="F39" s="230">
        <f aca="true" t="shared" si="4" ref="F39:L39">+F37+F32+F29+F26+F21</f>
        <v>11.939072434786524</v>
      </c>
      <c r="G39" s="230">
        <f t="shared" si="4"/>
        <v>-31.25386962812057</v>
      </c>
      <c r="H39" s="230">
        <f t="shared" si="4"/>
        <v>-54.92309286726176</v>
      </c>
      <c r="I39" s="230">
        <f t="shared" si="4"/>
        <v>-59.50387322555885</v>
      </c>
      <c r="J39" s="230">
        <f t="shared" si="4"/>
        <v>-46.14906284433317</v>
      </c>
      <c r="K39" s="230">
        <f t="shared" si="4"/>
        <v>-44.36840086874551</v>
      </c>
      <c r="L39" s="230">
        <f t="shared" si="4"/>
        <v>-38.618568043185206</v>
      </c>
    </row>
    <row r="40" spans="3:12" ht="15" thickTop="1">
      <c r="C40" s="122"/>
      <c r="E40" s="222"/>
      <c r="F40" s="222"/>
      <c r="G40" s="222"/>
      <c r="H40" s="222"/>
      <c r="I40" s="222"/>
      <c r="J40" s="222"/>
      <c r="K40" s="222"/>
      <c r="L40" s="222"/>
    </row>
    <row r="41" spans="2:12" ht="14.25">
      <c r="B41" s="122" t="s">
        <v>810</v>
      </c>
      <c r="E41" s="222"/>
      <c r="F41" s="222"/>
      <c r="G41" s="222"/>
      <c r="H41" s="222"/>
      <c r="I41" s="222"/>
      <c r="J41" s="222"/>
      <c r="K41" s="222"/>
      <c r="L41" s="222"/>
    </row>
    <row r="42" spans="2:12" ht="14.25">
      <c r="B42" s="122"/>
      <c r="C42" s="347" t="s">
        <v>115</v>
      </c>
      <c r="E42" s="222"/>
      <c r="F42" s="222"/>
      <c r="G42" s="222"/>
      <c r="H42" s="222"/>
      <c r="I42" s="222"/>
      <c r="J42" s="222"/>
      <c r="K42" s="222"/>
      <c r="L42" s="222"/>
    </row>
    <row r="43" spans="3:12" ht="14.25">
      <c r="C43" s="608" t="s">
        <v>811</v>
      </c>
      <c r="E43" s="222"/>
      <c r="F43" s="222"/>
      <c r="G43" s="222"/>
      <c r="H43" s="222"/>
      <c r="I43" s="222"/>
      <c r="J43" s="222"/>
      <c r="K43" s="222"/>
      <c r="L43" s="222"/>
    </row>
    <row r="44" spans="3:12" ht="14.25">
      <c r="C44" s="598" t="s">
        <v>126</v>
      </c>
      <c r="E44" s="222"/>
      <c r="F44" s="222"/>
      <c r="G44" s="222"/>
      <c r="H44" s="222"/>
      <c r="I44" s="222"/>
      <c r="J44" s="222"/>
      <c r="K44" s="222"/>
      <c r="L44" s="222"/>
    </row>
    <row r="45" spans="3:12" ht="14.25">
      <c r="C45" s="121" t="s">
        <v>744</v>
      </c>
      <c r="E45" s="222">
        <f>+E46-E42</f>
        <v>54.89319433971934</v>
      </c>
      <c r="F45" s="222">
        <f aca="true" t="shared" si="5" ref="F45:L45">+F46-F42</f>
        <v>-11.939072434786524</v>
      </c>
      <c r="G45" s="222">
        <f t="shared" si="5"/>
        <v>31.25386962812057</v>
      </c>
      <c r="H45" s="222">
        <f t="shared" si="5"/>
        <v>54.92309286726176</v>
      </c>
      <c r="I45" s="222">
        <f t="shared" si="5"/>
        <v>59.50387322555885</v>
      </c>
      <c r="J45" s="222">
        <f t="shared" si="5"/>
        <v>46.14906284433317</v>
      </c>
      <c r="K45" s="222">
        <f t="shared" si="5"/>
        <v>44.36840086874551</v>
      </c>
      <c r="L45" s="222">
        <f t="shared" si="5"/>
        <v>38.618568043185206</v>
      </c>
    </row>
    <row r="46" spans="3:12" ht="15" thickBot="1">
      <c r="C46" s="607" t="s">
        <v>49</v>
      </c>
      <c r="E46" s="230">
        <f>+E49-E39</f>
        <v>54.89319433971934</v>
      </c>
      <c r="F46" s="230">
        <f aca="true" t="shared" si="6" ref="F46:L46">+F49-F39</f>
        <v>-11.939072434786524</v>
      </c>
      <c r="G46" s="230">
        <f t="shared" si="6"/>
        <v>31.25386962812057</v>
      </c>
      <c r="H46" s="230">
        <f t="shared" si="6"/>
        <v>54.92309286726176</v>
      </c>
      <c r="I46" s="230">
        <f t="shared" si="6"/>
        <v>59.50387322555885</v>
      </c>
      <c r="J46" s="230">
        <f t="shared" si="6"/>
        <v>46.14906284433317</v>
      </c>
      <c r="K46" s="230">
        <f t="shared" si="6"/>
        <v>44.36840086874551</v>
      </c>
      <c r="L46" s="230">
        <f t="shared" si="6"/>
        <v>38.618568043185206</v>
      </c>
    </row>
    <row r="47" spans="3:12" ht="15" thickTop="1">
      <c r="C47" s="121"/>
      <c r="E47" s="227"/>
      <c r="F47" s="227"/>
      <c r="G47" s="227"/>
      <c r="H47" s="227"/>
      <c r="I47" s="227"/>
      <c r="J47" s="227"/>
      <c r="K47" s="227"/>
      <c r="L47" s="227"/>
    </row>
    <row r="48" spans="3:12" ht="14.25">
      <c r="C48" s="121"/>
      <c r="E48" s="222"/>
      <c r="F48" s="222"/>
      <c r="G48" s="222"/>
      <c r="H48" s="222"/>
      <c r="I48" s="222"/>
      <c r="J48" s="222"/>
      <c r="K48" s="222"/>
      <c r="L48" s="222"/>
    </row>
    <row r="49" spans="3:12" ht="15" thickBot="1">
      <c r="C49" s="122" t="s">
        <v>130</v>
      </c>
      <c r="E49" s="230">
        <f>+'Balance Sheet (nominal)'!E16-'Balance Sheet (nominal)'!D16</f>
        <v>0</v>
      </c>
      <c r="F49" s="230">
        <f>+'Balance Sheet (nominal)'!F16-'Balance Sheet (nominal)'!E16</f>
        <v>0</v>
      </c>
      <c r="G49" s="230">
        <f>+'Balance Sheet (nominal)'!G16-'Balance Sheet (nominal)'!F16</f>
        <v>0</v>
      </c>
      <c r="H49" s="230">
        <f>+'Balance Sheet (nominal)'!H16-'Balance Sheet (nominal)'!G16</f>
        <v>0</v>
      </c>
      <c r="I49" s="230">
        <f>+'Balance Sheet (nominal)'!I16-'Balance Sheet (nominal)'!H16</f>
        <v>0</v>
      </c>
      <c r="J49" s="230">
        <f>+'Balance Sheet (nominal)'!J16-'Balance Sheet (nominal)'!I16</f>
        <v>0</v>
      </c>
      <c r="K49" s="230">
        <f>+'Balance Sheet (nominal)'!K16-'Balance Sheet (nominal)'!J16</f>
        <v>0</v>
      </c>
      <c r="L49" s="230">
        <f>+'Balance Sheet (nominal)'!L16-'Balance Sheet (nominal)'!K16</f>
        <v>0</v>
      </c>
    </row>
    <row r="50" spans="5:12" ht="15" thickTop="1">
      <c r="E50" s="222"/>
      <c r="F50" s="222"/>
      <c r="G50" s="222"/>
      <c r="H50" s="222"/>
      <c r="I50" s="222"/>
      <c r="J50" s="222"/>
      <c r="K50" s="222"/>
      <c r="L50" s="222"/>
    </row>
  </sheetData>
  <printOptions/>
  <pageMargins left="0.75" right="0.75" top="1" bottom="1" header="0.5" footer="0.5"/>
  <pageSetup horizontalDpi="600" verticalDpi="600" orientation="portrait" paperSize="9" scale="61" r:id="rId1"/>
</worksheet>
</file>

<file path=xl/worksheets/sheet26.xml><?xml version="1.0" encoding="utf-8"?>
<worksheet xmlns="http://schemas.openxmlformats.org/spreadsheetml/2006/main" xmlns:r="http://schemas.openxmlformats.org/officeDocument/2006/relationships">
  <sheetPr codeName="Sheet29">
    <tabColor indexed="10"/>
  </sheetPr>
  <dimension ref="B19:B19"/>
  <sheetViews>
    <sheetView workbookViewId="0" topLeftCell="IV1">
      <selection activeCell="A1" sqref="A1"/>
    </sheetView>
  </sheetViews>
  <sheetFormatPr defaultColWidth="9.00390625" defaultRowHeight="15"/>
  <cols>
    <col min="1" max="16384" width="0" style="0" hidden="1" customWidth="1"/>
  </cols>
  <sheetData>
    <row r="19" ht="15">
      <c r="B19" s="12"/>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11">
    <pageSetUpPr fitToPage="1"/>
  </sheetPr>
  <dimension ref="A1:AH144"/>
  <sheetViews>
    <sheetView zoomScale="70" zoomScaleNormal="70" workbookViewId="0" topLeftCell="A1">
      <pane xSplit="3" ySplit="4" topLeftCell="D5" activePane="bottomRight" state="frozen"/>
      <selection pane="topLeft" activeCell="G23" sqref="G23"/>
      <selection pane="topRight" activeCell="G23" sqref="G23"/>
      <selection pane="bottomLeft" activeCell="G23" sqref="G23"/>
      <selection pane="bottomRight" activeCell="A1" sqref="A1"/>
    </sheetView>
  </sheetViews>
  <sheetFormatPr defaultColWidth="9.00390625" defaultRowHeight="15"/>
  <cols>
    <col min="1" max="2" width="2.625" style="63" customWidth="1"/>
    <col min="3" max="3" width="53.625" style="63" customWidth="1"/>
    <col min="4" max="4" width="9.00390625" style="63" customWidth="1"/>
    <col min="5" max="6" width="9.125" style="63" bestFit="1" customWidth="1"/>
    <col min="7" max="11" width="8.50390625" style="63" customWidth="1"/>
    <col min="12" max="12" width="9.25390625" style="63" customWidth="1"/>
    <col min="13" max="16384" width="10.50390625" style="63" customWidth="1"/>
  </cols>
  <sheetData>
    <row r="1" spans="1:3" ht="29.25">
      <c r="A1" s="64" t="str">
        <f>+'GDN data output sheet'!C4</f>
        <v>Wales &amp; West</v>
      </c>
      <c r="C1" s="65"/>
    </row>
    <row r="3" spans="3:12" ht="14.25">
      <c r="C3" s="63" t="s">
        <v>783</v>
      </c>
      <c r="D3" s="66"/>
      <c r="E3" s="66" t="e">
        <f>EOMONTH(StartDate,E4*12)</f>
        <v>#NAME?</v>
      </c>
      <c r="F3" s="66" t="e">
        <f>EOMONTH(StartDate,F4*12)</f>
        <v>#NAME?</v>
      </c>
      <c r="G3" s="66" t="e">
        <f>EOMONTH(StartDate,G4*12)</f>
        <v>#NAME?</v>
      </c>
      <c r="H3" s="66" t="e">
        <f>EOMONTH(StartDate,H4*12)</f>
        <v>#NAME?</v>
      </c>
      <c r="I3" s="66" t="e">
        <f>EOMONTH(StartDate,I4*12)</f>
        <v>#NAME?</v>
      </c>
      <c r="J3" s="66" t="e">
        <f>EOMONTH(StartDate,J4*12)</f>
        <v>#NAME?</v>
      </c>
      <c r="K3" s="66" t="e">
        <f>EOMONTH(StartDate,K4*12)</f>
        <v>#NAME?</v>
      </c>
      <c r="L3" s="66" t="e">
        <f>EOMONTH(StartDate,L4*12)</f>
        <v>#NAME?</v>
      </c>
    </row>
    <row r="4" spans="1:27" ht="14.25">
      <c r="A4" s="67"/>
      <c r="B4" s="67"/>
      <c r="C4" s="67" t="s">
        <v>82</v>
      </c>
      <c r="D4" s="68"/>
      <c r="E4" s="68">
        <f>Input!E4</f>
        <v>4</v>
      </c>
      <c r="F4" s="68">
        <f>E4+1</f>
        <v>5</v>
      </c>
      <c r="G4" s="68">
        <f aca="true" t="shared" si="0" ref="G4:L4">F4+1</f>
        <v>6</v>
      </c>
      <c r="H4" s="68">
        <f t="shared" si="0"/>
        <v>7</v>
      </c>
      <c r="I4" s="68">
        <f t="shared" si="0"/>
        <v>8</v>
      </c>
      <c r="J4" s="68">
        <f t="shared" si="0"/>
        <v>9</v>
      </c>
      <c r="K4" s="68">
        <f t="shared" si="0"/>
        <v>10</v>
      </c>
      <c r="L4" s="68">
        <f t="shared" si="0"/>
        <v>11</v>
      </c>
      <c r="M4" s="68"/>
      <c r="N4" s="68"/>
      <c r="O4" s="68"/>
      <c r="P4" s="68"/>
      <c r="Q4" s="68"/>
      <c r="R4" s="68"/>
      <c r="S4" s="68"/>
      <c r="T4" s="68"/>
      <c r="U4" s="68"/>
      <c r="V4" s="68"/>
      <c r="W4" s="68"/>
      <c r="X4" s="68"/>
      <c r="Y4" s="68"/>
      <c r="Z4" s="68"/>
      <c r="AA4" s="68"/>
    </row>
    <row r="5" spans="1:12" ht="14.25">
      <c r="A5" s="129"/>
      <c r="B5" s="129"/>
      <c r="C5" s="129"/>
      <c r="D5" s="129"/>
      <c r="E5" s="129"/>
      <c r="F5" s="129"/>
      <c r="G5" s="129"/>
      <c r="H5" s="129"/>
      <c r="I5" s="129"/>
      <c r="J5" s="129"/>
      <c r="K5" s="129"/>
      <c r="L5" s="129"/>
    </row>
    <row r="6" ht="14.25">
      <c r="A6" s="138"/>
    </row>
    <row r="7" ht="14.25">
      <c r="A7" s="65"/>
    </row>
    <row r="8" spans="2:6" ht="14.25">
      <c r="B8" s="69" t="s">
        <v>183</v>
      </c>
      <c r="F8" s="609"/>
    </row>
    <row r="10" spans="3:12" ht="14.25">
      <c r="C10" s="63" t="s">
        <v>14</v>
      </c>
      <c r="D10" s="143"/>
      <c r="E10" s="143">
        <f>Input!E249</f>
        <v>1078.6930247583834</v>
      </c>
      <c r="F10" s="143">
        <f aca="true" t="shared" si="1" ref="F10:L10">+IF(F4=6,E14+E109+E113,E14)</f>
        <v>1076.7237413186426</v>
      </c>
      <c r="G10" s="610">
        <f t="shared" si="1"/>
        <v>1112.3071981951964</v>
      </c>
      <c r="H10" s="143">
        <f t="shared" si="1"/>
        <v>1155.2186958840687</v>
      </c>
      <c r="I10" s="143">
        <f t="shared" si="1"/>
        <v>1223.8855229319545</v>
      </c>
      <c r="J10" s="143">
        <f t="shared" si="1"/>
        <v>1286.0740231032962</v>
      </c>
      <c r="K10" s="143">
        <f t="shared" si="1"/>
        <v>1346.9007194122205</v>
      </c>
      <c r="L10" s="143">
        <f t="shared" si="1"/>
        <v>1406.4823043355455</v>
      </c>
    </row>
    <row r="11" spans="3:12" ht="14.25">
      <c r="C11" s="63" t="s">
        <v>786</v>
      </c>
      <c r="D11" s="143"/>
      <c r="E11" s="143">
        <f aca="true" t="shared" si="2" ref="E11:L11">E52+E76</f>
        <v>-37.8493779825553</v>
      </c>
      <c r="F11" s="143">
        <f t="shared" si="2"/>
        <v>-37.99633094507736</v>
      </c>
      <c r="G11" s="143">
        <f>G52+G76</f>
        <v>-39.11811968236438</v>
      </c>
      <c r="H11" s="143">
        <f t="shared" si="2"/>
        <v>-40.328026116824624</v>
      </c>
      <c r="I11" s="143">
        <f t="shared" si="2"/>
        <v>-42.148174717071214</v>
      </c>
      <c r="J11" s="143">
        <f t="shared" si="2"/>
        <v>-43.83886379534322</v>
      </c>
      <c r="K11" s="143">
        <f t="shared" si="2"/>
        <v>-45.571930487869906</v>
      </c>
      <c r="L11" s="143">
        <f t="shared" si="2"/>
        <v>-47.315134412471494</v>
      </c>
    </row>
    <row r="12" spans="3:12" ht="14.25">
      <c r="C12" s="63" t="s">
        <v>47</v>
      </c>
      <c r="D12" s="143"/>
      <c r="E12" s="143">
        <f aca="true" t="shared" si="3" ref="E12:L12">E69-E96-E101</f>
        <v>35.88009454281444</v>
      </c>
      <c r="F12" s="143">
        <f t="shared" si="3"/>
        <v>37.793741984573344</v>
      </c>
      <c r="G12" s="143">
        <f t="shared" si="3"/>
        <v>82.02961737123655</v>
      </c>
      <c r="H12" s="143">
        <f>H69-H96-H101</f>
        <v>108.99485316471063</v>
      </c>
      <c r="I12" s="143">
        <f t="shared" si="3"/>
        <v>104.33667488841294</v>
      </c>
      <c r="J12" s="143">
        <f t="shared" si="3"/>
        <v>104.66556010426746</v>
      </c>
      <c r="K12" s="143">
        <f t="shared" si="3"/>
        <v>105.15351541119476</v>
      </c>
      <c r="L12" s="143">
        <f t="shared" si="3"/>
        <v>79.15521204817183</v>
      </c>
    </row>
    <row r="13" spans="3:12" ht="14.25">
      <c r="C13" s="63" t="s">
        <v>87</v>
      </c>
      <c r="D13" s="143"/>
      <c r="E13" s="143">
        <f aca="true" t="shared" si="4" ref="E13:L13">E47+E53+E71+E78</f>
        <v>0</v>
      </c>
      <c r="F13" s="143">
        <f t="shared" si="4"/>
        <v>0</v>
      </c>
      <c r="G13" s="143">
        <f t="shared" si="4"/>
        <v>0</v>
      </c>
      <c r="H13" s="143">
        <f t="shared" si="4"/>
        <v>0</v>
      </c>
      <c r="I13" s="143">
        <f t="shared" si="4"/>
        <v>0</v>
      </c>
      <c r="J13" s="143">
        <f t="shared" si="4"/>
        <v>0</v>
      </c>
      <c r="K13" s="143">
        <f t="shared" si="4"/>
        <v>0</v>
      </c>
      <c r="L13" s="143">
        <f t="shared" si="4"/>
        <v>0</v>
      </c>
    </row>
    <row r="14" spans="3:12" ht="15" thickBot="1">
      <c r="C14" s="63" t="s">
        <v>15</v>
      </c>
      <c r="D14" s="152"/>
      <c r="E14" s="152">
        <f aca="true" t="shared" si="5" ref="E14:L14">+SUM(E10:E13)</f>
        <v>1076.7237413186426</v>
      </c>
      <c r="F14" s="152">
        <f t="shared" si="5"/>
        <v>1076.5211523581388</v>
      </c>
      <c r="G14" s="152">
        <f t="shared" si="5"/>
        <v>1155.2186958840687</v>
      </c>
      <c r="H14" s="152">
        <f t="shared" si="5"/>
        <v>1223.8855229319545</v>
      </c>
      <c r="I14" s="152">
        <f t="shared" si="5"/>
        <v>1286.0740231032962</v>
      </c>
      <c r="J14" s="152">
        <f t="shared" si="5"/>
        <v>1346.9007194122205</v>
      </c>
      <c r="K14" s="152">
        <f t="shared" si="5"/>
        <v>1406.4823043355455</v>
      </c>
      <c r="L14" s="152">
        <f t="shared" si="5"/>
        <v>1438.3223819712457</v>
      </c>
    </row>
    <row r="15" spans="4:12" ht="15" thickTop="1">
      <c r="D15" s="143"/>
      <c r="E15" s="143"/>
      <c r="F15" s="143"/>
      <c r="G15" s="143"/>
      <c r="H15" s="143"/>
      <c r="I15" s="143"/>
      <c r="J15" s="143"/>
      <c r="K15" s="143"/>
      <c r="L15" s="143"/>
    </row>
    <row r="16" spans="3:12" ht="14.25">
      <c r="C16" s="63" t="s">
        <v>16</v>
      </c>
      <c r="D16" s="143"/>
      <c r="E16" s="143">
        <f>(E10+E14)/2</f>
        <v>1077.7083830385131</v>
      </c>
      <c r="F16" s="143">
        <f>(F10+F14)/2</f>
        <v>1076.6224468383907</v>
      </c>
      <c r="G16" s="143">
        <f aca="true" t="shared" si="6" ref="G16:L16">(G10+G14)/2</f>
        <v>1133.7629470396325</v>
      </c>
      <c r="H16" s="143">
        <f t="shared" si="6"/>
        <v>1189.5521094080116</v>
      </c>
      <c r="I16" s="143">
        <f t="shared" si="6"/>
        <v>1254.9797730176253</v>
      </c>
      <c r="J16" s="143">
        <f t="shared" si="6"/>
        <v>1316.4873712577582</v>
      </c>
      <c r="K16" s="143">
        <f t="shared" si="6"/>
        <v>1376.691511873883</v>
      </c>
      <c r="L16" s="143">
        <f t="shared" si="6"/>
        <v>1422.4023431533956</v>
      </c>
    </row>
    <row r="17" spans="4:12" ht="14.25">
      <c r="D17" s="143"/>
      <c r="E17" s="143"/>
      <c r="F17" s="143"/>
      <c r="G17" s="143"/>
      <c r="H17" s="143"/>
      <c r="I17" s="143"/>
      <c r="J17" s="143"/>
      <c r="K17" s="143"/>
      <c r="L17" s="143"/>
    </row>
    <row r="18" spans="2:12" ht="14.25">
      <c r="B18" s="69" t="s">
        <v>184</v>
      </c>
      <c r="D18" s="143"/>
      <c r="E18" s="143"/>
      <c r="F18" s="143"/>
      <c r="G18" s="143"/>
      <c r="H18" s="143"/>
      <c r="I18" s="143"/>
      <c r="J18" s="143"/>
      <c r="K18" s="143"/>
      <c r="L18" s="143"/>
    </row>
    <row r="19" spans="3:12" ht="14.25">
      <c r="C19" s="63" t="s">
        <v>14</v>
      </c>
      <c r="D19" s="143"/>
      <c r="E19" s="143">
        <f>Input!E250</f>
        <v>1094.6490433564213</v>
      </c>
      <c r="F19" s="143">
        <f aca="true" t="shared" si="7" ref="F19:L19">+E23</f>
        <v>1104.2589353158103</v>
      </c>
      <c r="G19" s="143">
        <f t="shared" si="7"/>
        <v>1112.3071981951962</v>
      </c>
      <c r="H19" s="143">
        <f t="shared" si="7"/>
        <v>1155.2186958840684</v>
      </c>
      <c r="I19" s="143">
        <f t="shared" si="7"/>
        <v>1223.8855229319543</v>
      </c>
      <c r="J19" s="143">
        <f t="shared" si="7"/>
        <v>1286.074023103296</v>
      </c>
      <c r="K19" s="143">
        <f t="shared" si="7"/>
        <v>1346.90071941222</v>
      </c>
      <c r="L19" s="143">
        <f t="shared" si="7"/>
        <v>1406.482304335545</v>
      </c>
    </row>
    <row r="20" spans="3:12" ht="14.25">
      <c r="C20" s="63" t="s">
        <v>786</v>
      </c>
      <c r="D20" s="143"/>
      <c r="E20" s="143">
        <f aca="true" t="shared" si="8" ref="E20:L20">+E11+E118</f>
        <v>-38.32527134176533</v>
      </c>
      <c r="F20" s="143">
        <f t="shared" si="8"/>
        <v>-38.73449996162204</v>
      </c>
      <c r="G20" s="143">
        <f t="shared" si="8"/>
        <v>-39.11811968236438</v>
      </c>
      <c r="H20" s="143">
        <f t="shared" si="8"/>
        <v>-40.328026116824624</v>
      </c>
      <c r="I20" s="143">
        <f t="shared" si="8"/>
        <v>-42.148174717071214</v>
      </c>
      <c r="J20" s="143">
        <f t="shared" si="8"/>
        <v>-43.83886379534322</v>
      </c>
      <c r="K20" s="143">
        <f t="shared" si="8"/>
        <v>-45.571930487869906</v>
      </c>
      <c r="L20" s="143">
        <f t="shared" si="8"/>
        <v>-47.315134412471494</v>
      </c>
    </row>
    <row r="21" spans="3:12" ht="14.25">
      <c r="C21" s="63" t="s">
        <v>47</v>
      </c>
      <c r="D21" s="143"/>
      <c r="E21" s="143">
        <f aca="true" t="shared" si="9" ref="E21:L21">IF(E4&lt;5.5,+E12+E117+E70,IF(E4&lt;11.5,E12,D21))</f>
        <v>47.93516330115425</v>
      </c>
      <c r="F21" s="143">
        <f t="shared" si="9"/>
        <v>46.78276284100803</v>
      </c>
      <c r="G21" s="143">
        <f t="shared" si="9"/>
        <v>82.02961737123655</v>
      </c>
      <c r="H21" s="143">
        <f t="shared" si="9"/>
        <v>108.99485316471063</v>
      </c>
      <c r="I21" s="143">
        <f t="shared" si="9"/>
        <v>104.33667488841294</v>
      </c>
      <c r="J21" s="143">
        <f t="shared" si="9"/>
        <v>104.66556010426746</v>
      </c>
      <c r="K21" s="143">
        <f t="shared" si="9"/>
        <v>105.15351541119476</v>
      </c>
      <c r="L21" s="143">
        <f t="shared" si="9"/>
        <v>79.15521204817183</v>
      </c>
    </row>
    <row r="22" spans="3:12" ht="14.25">
      <c r="C22" s="63" t="s">
        <v>87</v>
      </c>
      <c r="D22" s="143"/>
      <c r="E22" s="143">
        <f aca="true" t="shared" si="10" ref="E22:L22">+E13</f>
        <v>0</v>
      </c>
      <c r="F22" s="143">
        <f t="shared" si="10"/>
        <v>0</v>
      </c>
      <c r="G22" s="143">
        <f t="shared" si="10"/>
        <v>0</v>
      </c>
      <c r="H22" s="143">
        <f t="shared" si="10"/>
        <v>0</v>
      </c>
      <c r="I22" s="143">
        <f t="shared" si="10"/>
        <v>0</v>
      </c>
      <c r="J22" s="143">
        <f t="shared" si="10"/>
        <v>0</v>
      </c>
      <c r="K22" s="143">
        <f t="shared" si="10"/>
        <v>0</v>
      </c>
      <c r="L22" s="143">
        <f t="shared" si="10"/>
        <v>0</v>
      </c>
    </row>
    <row r="23" spans="3:12" ht="14.25">
      <c r="C23" s="63" t="s">
        <v>569</v>
      </c>
      <c r="D23" s="143"/>
      <c r="E23" s="143">
        <f aca="true" t="shared" si="11" ref="E23:L23">+SUM(E19:E22)</f>
        <v>1104.2589353158103</v>
      </c>
      <c r="F23" s="143">
        <f t="shared" si="11"/>
        <v>1112.3071981951962</v>
      </c>
      <c r="G23" s="143">
        <f t="shared" si="11"/>
        <v>1155.2186958840684</v>
      </c>
      <c r="H23" s="143">
        <f t="shared" si="11"/>
        <v>1223.8855229319543</v>
      </c>
      <c r="I23" s="143">
        <f t="shared" si="11"/>
        <v>1286.074023103296</v>
      </c>
      <c r="J23" s="143">
        <f t="shared" si="11"/>
        <v>1346.90071941222</v>
      </c>
      <c r="K23" s="143">
        <f t="shared" si="11"/>
        <v>1406.482304335545</v>
      </c>
      <c r="L23" s="143">
        <f t="shared" si="11"/>
        <v>1438.3223819712452</v>
      </c>
    </row>
    <row r="24" spans="4:12" ht="14.25">
      <c r="D24" s="143"/>
      <c r="E24" s="143"/>
      <c r="F24" s="143"/>
      <c r="G24" s="143"/>
      <c r="H24" s="143"/>
      <c r="I24" s="143"/>
      <c r="J24" s="143"/>
      <c r="K24" s="143"/>
      <c r="L24" s="143"/>
    </row>
    <row r="25" spans="3:12" ht="14.25">
      <c r="C25" s="63" t="s">
        <v>16</v>
      </c>
      <c r="D25" s="143"/>
      <c r="E25" s="143">
        <f>(E19+E23)/2</f>
        <v>1099.4539893361157</v>
      </c>
      <c r="F25" s="143">
        <f>(F19+F23)/2</f>
        <v>1108.2830667555031</v>
      </c>
      <c r="G25" s="143">
        <f aca="true" t="shared" si="12" ref="G25:L25">(G19+G23)/2</f>
        <v>1133.7629470396323</v>
      </c>
      <c r="H25" s="143">
        <f t="shared" si="12"/>
        <v>1189.5521094080113</v>
      </c>
      <c r="I25" s="143">
        <f t="shared" si="12"/>
        <v>1254.9797730176251</v>
      </c>
      <c r="J25" s="143">
        <f t="shared" si="12"/>
        <v>1316.487371257758</v>
      </c>
      <c r="K25" s="143">
        <f t="shared" si="12"/>
        <v>1376.6915118738825</v>
      </c>
      <c r="L25" s="143">
        <f t="shared" si="12"/>
        <v>1422.4023431533951</v>
      </c>
    </row>
    <row r="26" spans="3:12" ht="14.25">
      <c r="C26" s="63" t="s">
        <v>573</v>
      </c>
      <c r="D26" s="143"/>
      <c r="E26" s="143">
        <f>+E25-E16</f>
        <v>21.745606297602535</v>
      </c>
      <c r="F26" s="143">
        <f>+F25-F16</f>
        <v>31.6606199171124</v>
      </c>
      <c r="G26" s="143"/>
      <c r="H26" s="143"/>
      <c r="I26" s="143"/>
      <c r="J26" s="143"/>
      <c r="K26" s="143"/>
      <c r="L26" s="143"/>
    </row>
    <row r="27" spans="3:11" ht="14.25">
      <c r="C27" s="63" t="s">
        <v>606</v>
      </c>
      <c r="D27" s="143"/>
      <c r="E27" s="143">
        <f>+E20-E11</f>
        <v>-0.4758933592100263</v>
      </c>
      <c r="F27" s="143">
        <f>+F20-F11</f>
        <v>-0.7381690165446813</v>
      </c>
      <c r="G27" s="143"/>
      <c r="H27" s="143"/>
      <c r="I27" s="143"/>
      <c r="J27" s="143"/>
      <c r="K27" s="143"/>
    </row>
    <row r="28" spans="4:11" ht="14.25">
      <c r="D28" s="143"/>
      <c r="E28" s="143"/>
      <c r="F28" s="143"/>
      <c r="G28" s="143"/>
      <c r="H28" s="143"/>
      <c r="I28" s="143"/>
      <c r="J28" s="143"/>
      <c r="K28" s="143"/>
    </row>
    <row r="29" spans="2:11" ht="14.25">
      <c r="B29" s="69" t="s">
        <v>185</v>
      </c>
      <c r="D29" s="143"/>
      <c r="E29" s="143"/>
      <c r="F29" s="143"/>
      <c r="G29" s="143"/>
      <c r="H29" s="143"/>
      <c r="I29" s="143"/>
      <c r="J29" s="143"/>
      <c r="K29" s="143"/>
    </row>
    <row r="30" spans="3:12" ht="14.25">
      <c r="C30" s="63" t="s">
        <v>14</v>
      </c>
      <c r="D30" s="143"/>
      <c r="E30" s="143">
        <f aca="true" t="shared" si="13" ref="E30:L30">+E94+E99+E107+E111+E10</f>
        <v>1144.0759754132469</v>
      </c>
      <c r="F30" s="143">
        <f t="shared" si="13"/>
        <v>1178.1403223994548</v>
      </c>
      <c r="G30" s="143">
        <f t="shared" si="13"/>
        <v>1209.7885582402507</v>
      </c>
      <c r="H30" s="143">
        <f t="shared" si="13"/>
        <v>1234.9547114419083</v>
      </c>
      <c r="I30" s="143">
        <f t="shared" si="13"/>
        <v>1282.298110184699</v>
      </c>
      <c r="J30" s="143">
        <f t="shared" si="13"/>
        <v>1332.989525602214</v>
      </c>
      <c r="K30" s="143">
        <f t="shared" si="13"/>
        <v>1369.9471195607525</v>
      </c>
      <c r="L30" s="143">
        <f t="shared" si="13"/>
        <v>1406.4823043355455</v>
      </c>
    </row>
    <row r="31" spans="3:12" ht="14.25">
      <c r="C31" s="63" t="s">
        <v>786</v>
      </c>
      <c r="D31" s="143"/>
      <c r="E31" s="143">
        <f aca="true" t="shared" si="14" ref="E31:L31">+E20+E100</f>
        <v>-39.45166451826431</v>
      </c>
      <c r="F31" s="143">
        <f t="shared" si="14"/>
        <v>-40.429356431528085</v>
      </c>
      <c r="G31" s="143">
        <f t="shared" si="14"/>
        <v>-41.375083472966324</v>
      </c>
      <c r="H31" s="143">
        <f t="shared" si="14"/>
        <v>-42.19778039001125</v>
      </c>
      <c r="I31" s="143">
        <f t="shared" si="14"/>
        <v>-43.53158713946013</v>
      </c>
      <c r="J31" s="143">
        <f t="shared" si="14"/>
        <v>-44.969434409446194</v>
      </c>
      <c r="K31" s="143">
        <f t="shared" si="14"/>
        <v>-46.13403780856581</v>
      </c>
      <c r="L31" s="143">
        <f t="shared" si="14"/>
        <v>-47.315134412471494</v>
      </c>
    </row>
    <row r="32" spans="3:12" ht="14.25">
      <c r="C32" s="63" t="s">
        <v>47</v>
      </c>
      <c r="D32" s="143"/>
      <c r="E32" s="143">
        <f aca="true" t="shared" si="15" ref="E32:J32">+E64+E95+E108</f>
        <v>73.5160115044722</v>
      </c>
      <c r="F32" s="143">
        <f t="shared" si="15"/>
        <v>72.07759227232368</v>
      </c>
      <c r="G32" s="143">
        <f>+G64+G95+G108</f>
        <v>66.54123667462397</v>
      </c>
      <c r="H32" s="143">
        <f>+H64+H95+H108</f>
        <v>89.54117913280203</v>
      </c>
      <c r="I32" s="143">
        <f>+I64+I95+I108</f>
        <v>94.22300255697502</v>
      </c>
      <c r="J32" s="143">
        <f t="shared" si="15"/>
        <v>81.92702836798483</v>
      </c>
      <c r="K32" s="143">
        <f>+K64+K95+K108</f>
        <v>82.66922258335862</v>
      </c>
      <c r="L32" s="143">
        <f>+L64+L95+L108</f>
        <v>79.15521204817183</v>
      </c>
    </row>
    <row r="33" spans="3:12" ht="14.25">
      <c r="C33" s="63" t="s">
        <v>87</v>
      </c>
      <c r="D33" s="143"/>
      <c r="E33" s="143">
        <f aca="true" t="shared" si="16" ref="E33:L33">+E13</f>
        <v>0</v>
      </c>
      <c r="F33" s="143">
        <f t="shared" si="16"/>
        <v>0</v>
      </c>
      <c r="G33" s="143">
        <f>+G13</f>
        <v>0</v>
      </c>
      <c r="H33" s="143">
        <f t="shared" si="16"/>
        <v>0</v>
      </c>
      <c r="I33" s="143">
        <f t="shared" si="16"/>
        <v>0</v>
      </c>
      <c r="J33" s="143">
        <f t="shared" si="16"/>
        <v>0</v>
      </c>
      <c r="K33" s="143">
        <f t="shared" si="16"/>
        <v>0</v>
      </c>
      <c r="L33" s="143">
        <f t="shared" si="16"/>
        <v>0</v>
      </c>
    </row>
    <row r="34" spans="3:12" ht="14.25">
      <c r="C34" s="63" t="s">
        <v>569</v>
      </c>
      <c r="D34" s="143"/>
      <c r="E34" s="143">
        <f aca="true" t="shared" si="17" ref="E34:L34">+SUM(E30:E33)</f>
        <v>1178.1403223994548</v>
      </c>
      <c r="F34" s="143">
        <f t="shared" si="17"/>
        <v>1209.7885582402505</v>
      </c>
      <c r="G34" s="143">
        <f t="shared" si="17"/>
        <v>1234.9547114419083</v>
      </c>
      <c r="H34" s="143">
        <f t="shared" si="17"/>
        <v>1282.298110184699</v>
      </c>
      <c r="I34" s="143">
        <f t="shared" si="17"/>
        <v>1332.989525602214</v>
      </c>
      <c r="J34" s="143">
        <f t="shared" si="17"/>
        <v>1369.9471195607525</v>
      </c>
      <c r="K34" s="143">
        <f t="shared" si="17"/>
        <v>1406.4823043355452</v>
      </c>
      <c r="L34" s="143">
        <f t="shared" si="17"/>
        <v>1438.3223819712457</v>
      </c>
    </row>
    <row r="35" spans="4:12" ht="14.25">
      <c r="D35" s="143"/>
      <c r="E35" s="143"/>
      <c r="F35" s="143"/>
      <c r="G35" s="143"/>
      <c r="H35" s="143"/>
      <c r="I35" s="143"/>
      <c r="J35" s="143"/>
      <c r="K35" s="143"/>
      <c r="L35" s="143"/>
    </row>
    <row r="36" spans="3:12" ht="14.25">
      <c r="C36" s="63" t="s">
        <v>16</v>
      </c>
      <c r="D36" s="143"/>
      <c r="E36" s="143">
        <f aca="true" t="shared" si="18" ref="E36:L36">+E30/2+E34/2</f>
        <v>1161.1081489063508</v>
      </c>
      <c r="F36" s="143">
        <f t="shared" si="18"/>
        <v>1193.9644403198527</v>
      </c>
      <c r="G36" s="143">
        <f t="shared" si="18"/>
        <v>1222.3716348410794</v>
      </c>
      <c r="H36" s="143">
        <f t="shared" si="18"/>
        <v>1258.6264108133037</v>
      </c>
      <c r="I36" s="143">
        <f t="shared" si="18"/>
        <v>1307.6438178934563</v>
      </c>
      <c r="J36" s="143">
        <f t="shared" si="18"/>
        <v>1351.4683225814833</v>
      </c>
      <c r="K36" s="143">
        <f t="shared" si="18"/>
        <v>1388.2147119481488</v>
      </c>
      <c r="L36" s="143">
        <f t="shared" si="18"/>
        <v>1422.4023431533956</v>
      </c>
    </row>
    <row r="37" spans="4:12" ht="14.25">
      <c r="D37" s="143"/>
      <c r="E37" s="143"/>
      <c r="F37" s="143"/>
      <c r="G37" s="143"/>
      <c r="H37" s="143"/>
      <c r="I37" s="143"/>
      <c r="J37" s="143"/>
      <c r="K37" s="143"/>
      <c r="L37" s="143"/>
    </row>
    <row r="38" ht="14.25">
      <c r="G38" s="82"/>
    </row>
    <row r="39" spans="1:12" ht="14.25">
      <c r="A39" s="449"/>
      <c r="B39" s="449"/>
      <c r="C39" s="449"/>
      <c r="D39" s="449"/>
      <c r="E39" s="449"/>
      <c r="F39" s="449"/>
      <c r="G39" s="478"/>
      <c r="H39" s="449"/>
      <c r="I39" s="449"/>
      <c r="J39" s="449"/>
      <c r="K39" s="449"/>
      <c r="L39" s="449"/>
    </row>
    <row r="40" spans="1:12" ht="14.25">
      <c r="A40" s="129"/>
      <c r="B40" s="202" t="s">
        <v>497</v>
      </c>
      <c r="C40" s="129"/>
      <c r="D40" s="129"/>
      <c r="E40" s="129"/>
      <c r="F40" s="129"/>
      <c r="G40" s="129"/>
      <c r="H40" s="129"/>
      <c r="I40" s="129"/>
      <c r="J40" s="129"/>
      <c r="K40" s="129"/>
      <c r="L40" s="129"/>
    </row>
    <row r="41" spans="1:12" ht="14.25">
      <c r="A41" s="129"/>
      <c r="B41" s="449"/>
      <c r="C41" s="449"/>
      <c r="D41" s="449"/>
      <c r="E41" s="129"/>
      <c r="F41" s="129"/>
      <c r="G41" s="129"/>
      <c r="H41" s="129"/>
      <c r="I41" s="129"/>
      <c r="J41" s="129"/>
      <c r="K41" s="129"/>
      <c r="L41" s="129"/>
    </row>
    <row r="42" spans="1:12" ht="14.25">
      <c r="A42" s="129"/>
      <c r="B42" s="129"/>
      <c r="C42" s="347" t="s">
        <v>137</v>
      </c>
      <c r="D42" s="129">
        <f>+Input!D110</f>
        <v>28</v>
      </c>
      <c r="E42" s="98"/>
      <c r="F42" s="98"/>
      <c r="G42" s="98"/>
      <c r="H42" s="98"/>
      <c r="I42" s="98"/>
      <c r="J42" s="98"/>
      <c r="K42" s="98"/>
      <c r="L42" s="98"/>
    </row>
    <row r="43" spans="1:27" ht="14.25">
      <c r="A43" s="129"/>
      <c r="B43" s="129"/>
      <c r="C43" s="129" t="s">
        <v>189</v>
      </c>
      <c r="D43" s="129"/>
      <c r="E43" s="476">
        <f aca="true" t="shared" si="19" ref="E43:L43">+MAX(($D$42*2-E4+1),0)/($D$42*2)/($D$42*2+1)*2</f>
        <v>0.03320802005012531</v>
      </c>
      <c r="F43" s="476">
        <f t="shared" si="19"/>
        <v>0.03258145363408521</v>
      </c>
      <c r="G43" s="476">
        <f t="shared" si="19"/>
        <v>0.03195488721804511</v>
      </c>
      <c r="H43" s="476">
        <f t="shared" si="19"/>
        <v>0.03132832080200501</v>
      </c>
      <c r="I43" s="476">
        <f t="shared" si="19"/>
        <v>0.03070175438596491</v>
      </c>
      <c r="J43" s="476">
        <f t="shared" si="19"/>
        <v>0.03007518796992481</v>
      </c>
      <c r="K43" s="476">
        <f t="shared" si="19"/>
        <v>0.029448621553884714</v>
      </c>
      <c r="L43" s="476">
        <f t="shared" si="19"/>
        <v>0.02882205513784461</v>
      </c>
      <c r="M43" s="476"/>
      <c r="N43" s="476"/>
      <c r="O43" s="476"/>
      <c r="P43" s="476"/>
      <c r="Q43" s="476"/>
      <c r="R43" s="476"/>
      <c r="S43" s="476"/>
      <c r="T43" s="476"/>
      <c r="U43" s="476"/>
      <c r="V43" s="476"/>
      <c r="W43" s="476"/>
      <c r="X43" s="476"/>
      <c r="Y43" s="476"/>
      <c r="Z43" s="476"/>
      <c r="AA43" s="476"/>
    </row>
    <row r="44" spans="2:7" ht="14.25">
      <c r="B44" s="69" t="s">
        <v>52</v>
      </c>
      <c r="G44" s="609"/>
    </row>
    <row r="45" ht="14.25">
      <c r="B45" s="134" t="s">
        <v>9</v>
      </c>
    </row>
    <row r="46" spans="3:12" ht="14.25">
      <c r="C46" s="63" t="s">
        <v>53</v>
      </c>
      <c r="D46" s="143"/>
      <c r="E46" s="143">
        <f>Input!E251</f>
        <v>1038.010424933289</v>
      </c>
      <c r="F46" s="143">
        <f>+IF(F$4=6,E48+Input!$D$245,E48)</f>
        <v>1038.010424933289</v>
      </c>
      <c r="G46" s="610">
        <f>+IF(G$4=6,F48+Input!$D$245,F48)</f>
        <v>1046.9715811229646</v>
      </c>
      <c r="H46" s="143">
        <f>+IF(H$4=6,G48+Input!$D$245,G48)</f>
        <v>1046.9715811229646</v>
      </c>
      <c r="I46" s="143">
        <f>+IF(I$4=6,H48+Input!$D$245,H48)</f>
        <v>1046.9715811229646</v>
      </c>
      <c r="J46" s="143">
        <f>+IF(J$4=6,I48+Input!$D$245,I48)</f>
        <v>1046.9715811229646</v>
      </c>
      <c r="K46" s="143">
        <f>+IF(K$4=6,J48+Input!$D$245,J48)</f>
        <v>1046.9715811229646</v>
      </c>
      <c r="L46" s="143">
        <f>+IF(L$4=6,K48+Input!$D$245,K48)</f>
        <v>1046.9715811229646</v>
      </c>
    </row>
    <row r="47" spans="3:12" ht="14.25">
      <c r="C47" s="77" t="s">
        <v>85</v>
      </c>
      <c r="D47" s="143"/>
      <c r="E47" s="143">
        <f>+Input!E126</f>
        <v>0</v>
      </c>
      <c r="F47" s="143">
        <f>+Input!F126</f>
        <v>0</v>
      </c>
      <c r="G47" s="143">
        <f>+Input!G126</f>
        <v>0</v>
      </c>
      <c r="H47" s="143">
        <f>+Input!H126</f>
        <v>0</v>
      </c>
      <c r="I47" s="143">
        <f>+Input!I126</f>
        <v>0</v>
      </c>
      <c r="J47" s="143">
        <f>+Input!J126</f>
        <v>0</v>
      </c>
      <c r="K47" s="143">
        <f>+Input!K126</f>
        <v>0</v>
      </c>
      <c r="L47" s="143">
        <f>+Input!L126</f>
        <v>0</v>
      </c>
    </row>
    <row r="48" spans="3:12" ht="14.25">
      <c r="C48" s="63" t="s">
        <v>48</v>
      </c>
      <c r="D48" s="146"/>
      <c r="E48" s="146">
        <f aca="true" t="shared" si="20" ref="E48:L48">+E46+E47</f>
        <v>1038.010424933289</v>
      </c>
      <c r="F48" s="146">
        <f t="shared" si="20"/>
        <v>1038.010424933289</v>
      </c>
      <c r="G48" s="146">
        <f t="shared" si="20"/>
        <v>1046.9715811229646</v>
      </c>
      <c r="H48" s="146">
        <f t="shared" si="20"/>
        <v>1046.9715811229646</v>
      </c>
      <c r="I48" s="146">
        <f t="shared" si="20"/>
        <v>1046.9715811229646</v>
      </c>
      <c r="J48" s="146">
        <f t="shared" si="20"/>
        <v>1046.9715811229646</v>
      </c>
      <c r="K48" s="146">
        <f t="shared" si="20"/>
        <v>1046.9715811229646</v>
      </c>
      <c r="L48" s="146">
        <f t="shared" si="20"/>
        <v>1046.9715811229646</v>
      </c>
    </row>
    <row r="50" ht="14.25">
      <c r="B50" s="134" t="s">
        <v>10</v>
      </c>
    </row>
    <row r="51" spans="3:12" ht="14.25">
      <c r="C51" s="63" t="s">
        <v>53</v>
      </c>
      <c r="D51" s="143"/>
      <c r="E51" s="143">
        <f>Input!E252</f>
        <v>-107.31310784084752</v>
      </c>
      <c r="F51" s="214">
        <f>+IF(F$4=6,E54-Input!$D$245*Input!$D$247,E54)</f>
        <v>-141.78337884427128</v>
      </c>
      <c r="G51" s="610">
        <f>+IF(G$4=6,F54-Input!$D$245*Input!$D$247,F54)</f>
        <v>-177.11925244561428</v>
      </c>
      <c r="H51" s="214">
        <f>+IF(H$4=6,G54-Input!$D$245*Input!$D$247,G54)</f>
        <v>-210.57511124089697</v>
      </c>
      <c r="I51" s="214">
        <f>+IF(I$4=6,H54-Input!$D$245*Input!$D$247,H54)</f>
        <v>-243.3749728048996</v>
      </c>
      <c r="J51" s="214">
        <f>+IF(J$4=6,I54-Input!$D$245*Input!$D$247,I54)</f>
        <v>-275.5188371376222</v>
      </c>
      <c r="K51" s="214">
        <f>+IF(K$4=6,J54-Input!$D$245*Input!$D$247,J54)</f>
        <v>-307.00670423906473</v>
      </c>
      <c r="L51" s="214">
        <f>+IF(L$4=6,K54-Input!$D$245*Input!$D$247,K54)</f>
        <v>-337.83857410922724</v>
      </c>
    </row>
    <row r="52" spans="3:12" ht="14.25">
      <c r="C52" s="63" t="s">
        <v>13</v>
      </c>
      <c r="D52" s="143"/>
      <c r="E52" s="143">
        <f aca="true" t="shared" si="21" ref="E52:L52">-E46*E43</f>
        <v>-34.470271003423754</v>
      </c>
      <c r="F52" s="143">
        <f t="shared" si="21"/>
        <v>-33.81988853166104</v>
      </c>
      <c r="G52" s="143">
        <f t="shared" si="21"/>
        <v>-33.4558587952827</v>
      </c>
      <c r="H52" s="143">
        <f t="shared" si="21"/>
        <v>-32.79986156400265</v>
      </c>
      <c r="I52" s="143">
        <f t="shared" si="21"/>
        <v>-32.14386433272259</v>
      </c>
      <c r="J52" s="143">
        <f t="shared" si="21"/>
        <v>-31.487867101442543</v>
      </c>
      <c r="K52" s="143">
        <f t="shared" si="21"/>
        <v>-30.831869870162492</v>
      </c>
      <c r="L52" s="143">
        <f t="shared" si="21"/>
        <v>-30.17587263888244</v>
      </c>
    </row>
    <row r="53" spans="3:12" ht="14.25">
      <c r="C53" s="77" t="s">
        <v>86</v>
      </c>
      <c r="D53" s="143"/>
      <c r="E53" s="143">
        <f>+E51/E46*E47</f>
        <v>0</v>
      </c>
      <c r="F53" s="143">
        <f aca="true" t="shared" si="22" ref="F53:L53">+F51/F46*F47</f>
        <v>0</v>
      </c>
      <c r="G53" s="143">
        <f>+G51/G46*G47</f>
        <v>0</v>
      </c>
      <c r="H53" s="143">
        <f t="shared" si="22"/>
        <v>0</v>
      </c>
      <c r="I53" s="143">
        <f t="shared" si="22"/>
        <v>0</v>
      </c>
      <c r="J53" s="143">
        <f t="shared" si="22"/>
        <v>0</v>
      </c>
      <c r="K53" s="143">
        <f t="shared" si="22"/>
        <v>0</v>
      </c>
      <c r="L53" s="143">
        <f t="shared" si="22"/>
        <v>0</v>
      </c>
    </row>
    <row r="54" spans="3:12" ht="14.25">
      <c r="C54" s="63" t="s">
        <v>15</v>
      </c>
      <c r="D54" s="146"/>
      <c r="E54" s="146">
        <f aca="true" t="shared" si="23" ref="E54:L54">+SUM(E51:E53)</f>
        <v>-141.78337884427128</v>
      </c>
      <c r="F54" s="146">
        <f t="shared" si="23"/>
        <v>-175.60326737593232</v>
      </c>
      <c r="G54" s="146">
        <f t="shared" si="23"/>
        <v>-210.57511124089697</v>
      </c>
      <c r="H54" s="146">
        <f t="shared" si="23"/>
        <v>-243.3749728048996</v>
      </c>
      <c r="I54" s="146">
        <f t="shared" si="23"/>
        <v>-275.5188371376222</v>
      </c>
      <c r="J54" s="146">
        <f t="shared" si="23"/>
        <v>-307.00670423906473</v>
      </c>
      <c r="K54" s="146">
        <f t="shared" si="23"/>
        <v>-337.83857410922724</v>
      </c>
      <c r="L54" s="146">
        <f t="shared" si="23"/>
        <v>-368.01444674810966</v>
      </c>
    </row>
    <row r="55" spans="4:12" ht="14.25">
      <c r="D55" s="150"/>
      <c r="E55" s="150"/>
      <c r="F55" s="150"/>
      <c r="G55" s="150"/>
      <c r="H55" s="150"/>
      <c r="I55" s="150"/>
      <c r="J55" s="150"/>
      <c r="K55" s="150"/>
      <c r="L55" s="150"/>
    </row>
    <row r="56" spans="3:12" ht="15" thickBot="1">
      <c r="C56" s="63" t="s">
        <v>56</v>
      </c>
      <c r="D56" s="152"/>
      <c r="E56" s="152">
        <f aca="true" t="shared" si="24" ref="E56:L56">+E48+E54</f>
        <v>896.2270460890177</v>
      </c>
      <c r="F56" s="152">
        <f t="shared" si="24"/>
        <v>862.4071575573566</v>
      </c>
      <c r="G56" s="152">
        <f t="shared" si="24"/>
        <v>836.3964698820677</v>
      </c>
      <c r="H56" s="152">
        <f t="shared" si="24"/>
        <v>803.596608318065</v>
      </c>
      <c r="I56" s="152">
        <f t="shared" si="24"/>
        <v>771.4527439853424</v>
      </c>
      <c r="J56" s="152">
        <f t="shared" si="24"/>
        <v>739.9648768838999</v>
      </c>
      <c r="K56" s="152">
        <f t="shared" si="24"/>
        <v>709.1330070137374</v>
      </c>
      <c r="L56" s="152">
        <f t="shared" si="24"/>
        <v>678.957134374855</v>
      </c>
    </row>
    <row r="57" spans="1:12" ht="15" thickTop="1">
      <c r="A57" s="129"/>
      <c r="B57" s="129"/>
      <c r="C57" s="129"/>
      <c r="D57" s="129"/>
      <c r="E57" s="129"/>
      <c r="F57" s="129"/>
      <c r="G57" s="129"/>
      <c r="H57" s="129"/>
      <c r="I57" s="129"/>
      <c r="J57" s="129"/>
      <c r="K57" s="129"/>
      <c r="L57" s="129"/>
    </row>
    <row r="58" spans="1:12" ht="14.25">
      <c r="A58" s="449"/>
      <c r="B58" s="449"/>
      <c r="C58" s="449"/>
      <c r="D58" s="449"/>
      <c r="E58" s="449"/>
      <c r="F58" s="449"/>
      <c r="G58" s="449"/>
      <c r="H58" s="449"/>
      <c r="I58" s="449"/>
      <c r="J58" s="449"/>
      <c r="K58" s="449"/>
      <c r="L58" s="449"/>
    </row>
    <row r="59" spans="1:12" ht="14.25">
      <c r="A59" s="129"/>
      <c r="B59" s="202" t="s">
        <v>531</v>
      </c>
      <c r="C59" s="129"/>
      <c r="D59" s="129"/>
      <c r="E59" s="129"/>
      <c r="F59" s="129"/>
      <c r="G59" s="129"/>
      <c r="H59" s="129"/>
      <c r="I59" s="129"/>
      <c r="J59" s="129"/>
      <c r="K59" s="129"/>
      <c r="L59" s="129"/>
    </row>
    <row r="60" spans="2:7" ht="14.25">
      <c r="B60" s="449"/>
      <c r="C60" s="449"/>
      <c r="D60" s="449"/>
      <c r="G60" s="143"/>
    </row>
    <row r="61" spans="2:12" ht="14.25">
      <c r="B61" s="129"/>
      <c r="C61" s="129" t="s">
        <v>55</v>
      </c>
      <c r="D61" s="129">
        <f>+Input!D111</f>
        <v>45</v>
      </c>
      <c r="E61" s="71"/>
      <c r="F61" s="71"/>
      <c r="G61" s="71"/>
      <c r="H61" s="71"/>
      <c r="I61" s="71"/>
      <c r="J61" s="71"/>
      <c r="K61" s="71"/>
      <c r="L61" s="71"/>
    </row>
    <row r="62" spans="2:7" ht="14.25">
      <c r="B62" s="129"/>
      <c r="C62" s="129"/>
      <c r="D62" s="129"/>
      <c r="G62" s="143"/>
    </row>
    <row r="63" ht="14.25">
      <c r="B63" s="69" t="s">
        <v>54</v>
      </c>
    </row>
    <row r="64" spans="1:12" ht="14.25">
      <c r="A64" s="71"/>
      <c r="C64" s="63" t="s">
        <v>581</v>
      </c>
      <c r="D64" s="150"/>
      <c r="E64" s="150">
        <f>IF(E4&lt;6.5,-Input!E81+Input!E112,IF(E4&lt;11.5,'IQI calculation'!E41,D64))</f>
        <v>35.88009454281444</v>
      </c>
      <c r="F64" s="150">
        <f>IF(F4&lt;6.5,-Input!F81+Input!F112,IF(F4&lt;11.5,'IQI calculation'!F41,E64))</f>
        <v>37.793741984573344</v>
      </c>
      <c r="G64" s="150">
        <f>IF(G4&lt;6.5,-Input!G81+Input!G112,IF(G4&lt;11.5,'IQI calculation'!G41,F64))</f>
        <v>66.54123667462397</v>
      </c>
      <c r="H64" s="150">
        <f>IF(H4&lt;6.5,-Input!H81+Input!H112,IF(H4&lt;11.5,'IQI calculation'!H41,G64))</f>
        <v>89.54117913280203</v>
      </c>
      <c r="I64" s="150">
        <f>IF(I4&lt;6.5,-Input!I81+Input!I112,IF(I4&lt;11.5,'IQI calculation'!I41,H64))</f>
        <v>94.22300255697502</v>
      </c>
      <c r="J64" s="150">
        <f>IF(J4&lt;6.5,-Input!J81+Input!J112,IF(J4&lt;11.5,'IQI calculation'!J41,I64))</f>
        <v>81.92702836798483</v>
      </c>
      <c r="K64" s="150">
        <f>IF(K4&lt;6.5,-Input!K81+Input!K112,IF(K4&lt;11.5,'IQI calculation'!K41,J64))</f>
        <v>82.66922258335862</v>
      </c>
      <c r="L64" s="150">
        <f>IF(L4&lt;6.5,-Input!L81+Input!L112,IF(L4&lt;11.5,'IQI calculation'!L41,K64))</f>
        <v>79.15521204817183</v>
      </c>
    </row>
    <row r="65" spans="4:12" ht="14.25">
      <c r="D65" s="143"/>
      <c r="E65" s="143"/>
      <c r="F65" s="143"/>
      <c r="G65" s="143"/>
      <c r="H65" s="143"/>
      <c r="I65" s="143"/>
      <c r="J65" s="143"/>
      <c r="K65" s="143"/>
      <c r="L65" s="143"/>
    </row>
    <row r="66" spans="2:12" ht="14.25">
      <c r="B66" s="69" t="s">
        <v>498</v>
      </c>
      <c r="D66" s="143"/>
      <c r="E66" s="143"/>
      <c r="F66" s="143"/>
      <c r="G66" s="143"/>
      <c r="H66" s="143"/>
      <c r="I66" s="143"/>
      <c r="J66" s="143"/>
      <c r="K66" s="143"/>
      <c r="L66" s="143"/>
    </row>
    <row r="67" spans="2:12" ht="14.25">
      <c r="B67" s="134" t="s">
        <v>9</v>
      </c>
      <c r="D67" s="143"/>
      <c r="E67" s="143"/>
      <c r="F67" s="143"/>
      <c r="G67" s="143"/>
      <c r="H67" s="143"/>
      <c r="I67" s="143"/>
      <c r="J67" s="143"/>
      <c r="K67" s="143"/>
      <c r="L67" s="143"/>
    </row>
    <row r="68" spans="3:12" ht="14.25">
      <c r="C68" s="63" t="s">
        <v>53</v>
      </c>
      <c r="D68" s="143"/>
      <c r="E68" s="143">
        <f>Input!E253</f>
        <v>152.05981406091968</v>
      </c>
      <c r="F68" s="143">
        <f>+IF(F$4=6,E72+E109-#REF!,E72)</f>
        <v>187.93990860373412</v>
      </c>
      <c r="G68" s="610">
        <f>+IF(G$4=6,F72+F109-Input!$D$245,F72)</f>
        <v>254.80173991867568</v>
      </c>
      <c r="H68" s="143">
        <f>+IF(H$4=6,G72+G109-Input!$D$245,G72)</f>
        <v>338.76740487698885</v>
      </c>
      <c r="I68" s="143">
        <f>+IF(I$4=6,H72+H109-Input!$D$245,H72)</f>
        <v>450.193967295688</v>
      </c>
      <c r="J68" s="143">
        <f>+IF(J$4=6,I72+I109-Input!$D$245,I72)</f>
        <v>555.7948512255307</v>
      </c>
      <c r="K68" s="143">
        <f>+IF(K$4=6,J72+J109-Input!$D$245,J72)</f>
        <v>663.3027277968334</v>
      </c>
      <c r="L68" s="143">
        <f>+IF(L$4=6,K72+K109-Input!$D$245,K72)</f>
        <v>771.2667798115077</v>
      </c>
    </row>
    <row r="69" spans="3:12" ht="14.25">
      <c r="C69" s="63" t="s">
        <v>47</v>
      </c>
      <c r="D69" s="143"/>
      <c r="E69" s="143">
        <f aca="true" t="shared" si="25" ref="E69:L69">E64</f>
        <v>35.88009454281444</v>
      </c>
      <c r="F69" s="143">
        <f t="shared" si="25"/>
        <v>37.793741984573344</v>
      </c>
      <c r="G69" s="143">
        <f t="shared" si="25"/>
        <v>66.54123667462397</v>
      </c>
      <c r="H69" s="143">
        <f t="shared" si="25"/>
        <v>89.54117913280203</v>
      </c>
      <c r="I69" s="143">
        <f t="shared" si="25"/>
        <v>94.22300255697502</v>
      </c>
      <c r="J69" s="143">
        <f t="shared" si="25"/>
        <v>81.92702836798483</v>
      </c>
      <c r="K69" s="143">
        <f t="shared" si="25"/>
        <v>82.66922258335862</v>
      </c>
      <c r="L69" s="143">
        <f t="shared" si="25"/>
        <v>79.15521204817183</v>
      </c>
    </row>
    <row r="70" spans="3:12" ht="14.25">
      <c r="C70" s="63" t="s">
        <v>182</v>
      </c>
      <c r="D70" s="143"/>
      <c r="E70" s="143">
        <f aca="true" t="shared" si="26" ref="E70:L70">+IF(E4&lt;5.5,0,-E96)</f>
        <v>0</v>
      </c>
      <c r="F70" s="143">
        <f t="shared" si="26"/>
        <v>0</v>
      </c>
      <c r="G70" s="143">
        <f t="shared" si="26"/>
        <v>17.424428283689153</v>
      </c>
      <c r="H70" s="143">
        <f t="shared" si="26"/>
        <v>21.88538328589717</v>
      </c>
      <c r="I70" s="143">
        <f t="shared" si="26"/>
        <v>11.377881372867659</v>
      </c>
      <c r="J70" s="143">
        <f t="shared" si="26"/>
        <v>25.580848203317956</v>
      </c>
      <c r="K70" s="143">
        <f t="shared" si="26"/>
        <v>25.294829431315655</v>
      </c>
      <c r="L70" s="143">
        <f t="shared" si="26"/>
        <v>0</v>
      </c>
    </row>
    <row r="71" spans="3:12" ht="14.25">
      <c r="C71" s="77" t="s">
        <v>85</v>
      </c>
      <c r="D71" s="143"/>
      <c r="E71" s="143">
        <f>+Input!E127</f>
        <v>0</v>
      </c>
      <c r="F71" s="143">
        <f>+Input!F127</f>
        <v>0</v>
      </c>
      <c r="G71" s="143">
        <f>+Input!G127</f>
        <v>0</v>
      </c>
      <c r="H71" s="143">
        <f>+Input!H127</f>
        <v>0</v>
      </c>
      <c r="I71" s="143">
        <f>+Input!I127</f>
        <v>0</v>
      </c>
      <c r="J71" s="143">
        <f>+Input!J127</f>
        <v>0</v>
      </c>
      <c r="K71" s="143">
        <f>+Input!K127</f>
        <v>0</v>
      </c>
      <c r="L71" s="143">
        <f>+Input!L127</f>
        <v>0</v>
      </c>
    </row>
    <row r="72" spans="3:12" ht="14.25">
      <c r="C72" s="63" t="s">
        <v>48</v>
      </c>
      <c r="D72" s="146"/>
      <c r="E72" s="146">
        <f aca="true" t="shared" si="27" ref="E72:L72">+SUM(E68:E71)</f>
        <v>187.93990860373412</v>
      </c>
      <c r="F72" s="146">
        <f t="shared" si="27"/>
        <v>225.73365058830746</v>
      </c>
      <c r="G72" s="146">
        <f t="shared" si="27"/>
        <v>338.76740487698885</v>
      </c>
      <c r="H72" s="146">
        <f t="shared" si="27"/>
        <v>450.193967295688</v>
      </c>
      <c r="I72" s="146">
        <f t="shared" si="27"/>
        <v>555.7948512255307</v>
      </c>
      <c r="J72" s="146">
        <f t="shared" si="27"/>
        <v>663.3027277968334</v>
      </c>
      <c r="K72" s="146">
        <f t="shared" si="27"/>
        <v>771.2667798115077</v>
      </c>
      <c r="L72" s="146">
        <f t="shared" si="27"/>
        <v>850.4219918596796</v>
      </c>
    </row>
    <row r="73" spans="4:12" ht="14.25">
      <c r="D73" s="143"/>
      <c r="E73" s="143"/>
      <c r="F73" s="143"/>
      <c r="G73" s="143"/>
      <c r="H73" s="143"/>
      <c r="I73" s="143"/>
      <c r="J73" s="143"/>
      <c r="K73" s="143"/>
      <c r="L73" s="143"/>
    </row>
    <row r="74" spans="2:12" ht="14.25">
      <c r="B74" s="134" t="s">
        <v>10</v>
      </c>
      <c r="D74" s="143"/>
      <c r="E74" s="143"/>
      <c r="F74" s="143"/>
      <c r="G74" s="143"/>
      <c r="H74" s="143"/>
      <c r="I74" s="143"/>
      <c r="J74" s="143"/>
      <c r="K74" s="143"/>
      <c r="L74" s="143"/>
    </row>
    <row r="75" spans="3:12" ht="14.25">
      <c r="C75" s="63" t="s">
        <v>53</v>
      </c>
      <c r="D75" s="143"/>
      <c r="E75" s="143">
        <f>Input!E254</f>
        <v>-4.064106394977474</v>
      </c>
      <c r="F75" s="214">
        <f>+IF(F4=6,E79+E113+Input!$D$245*Input!$D$247,E79)</f>
        <v>-7.443213374109022</v>
      </c>
      <c r="G75" s="610">
        <f>+IF(G4=6,F79+F113+Input!$D$245*Input!$D$247,F79)</f>
        <v>-12.346870400829626</v>
      </c>
      <c r="H75" s="214">
        <f>+IF(H4=6,G79+G113+Input!$D$245*Input!$D$247,G79)</f>
        <v>-19.94517887498788</v>
      </c>
      <c r="I75" s="214">
        <f>+IF(I4=6,H79+H113+Input!$D$245*Input!$D$247,H79)</f>
        <v>-29.90505268179843</v>
      </c>
      <c r="J75" s="214">
        <f>+IF(J4=6,I79+I113+Input!$D$245*Input!$D$247,I79)</f>
        <v>-41.17357210757679</v>
      </c>
      <c r="K75" s="214">
        <f>+IF(K4=6,J79+J113+Input!$D$245*Input!$D$247,J79)</f>
        <v>-56.3668852685128</v>
      </c>
      <c r="L75" s="214">
        <f>+IF(L4=6,K79+K113+Input!$D$245*Input!$D$247,K79)</f>
        <v>-73.91748248969974</v>
      </c>
    </row>
    <row r="76" spans="3:12" ht="14.25">
      <c r="C76" s="63" t="s">
        <v>13</v>
      </c>
      <c r="D76" s="143"/>
      <c r="E76" s="143">
        <f aca="true" t="shared" si="28" ref="E76:L76">-E68/$D$61</f>
        <v>-3.3791069791315484</v>
      </c>
      <c r="F76" s="143">
        <f t="shared" si="28"/>
        <v>-4.176442413416314</v>
      </c>
      <c r="G76" s="143">
        <f t="shared" si="28"/>
        <v>-5.662260887081682</v>
      </c>
      <c r="H76" s="143">
        <f t="shared" si="28"/>
        <v>-7.528164552821974</v>
      </c>
      <c r="I76" s="143">
        <f t="shared" si="28"/>
        <v>-10.004310384348623</v>
      </c>
      <c r="J76" s="143">
        <f t="shared" si="28"/>
        <v>-12.350996693900681</v>
      </c>
      <c r="K76" s="143">
        <f t="shared" si="28"/>
        <v>-14.74006061770741</v>
      </c>
      <c r="L76" s="143">
        <f t="shared" si="28"/>
        <v>-17.13926177358906</v>
      </c>
    </row>
    <row r="77" spans="3:12" ht="14.25">
      <c r="C77" s="63" t="s">
        <v>182</v>
      </c>
      <c r="D77" s="143"/>
      <c r="E77" s="143">
        <f aca="true" t="shared" si="29" ref="E77:L77">+IF(E4&lt;5.5,0,-E101)</f>
        <v>0</v>
      </c>
      <c r="F77" s="143">
        <f t="shared" si="29"/>
        <v>0</v>
      </c>
      <c r="G77" s="143">
        <f t="shared" si="29"/>
        <v>-1.9360475870765725</v>
      </c>
      <c r="H77" s="143">
        <f t="shared" si="29"/>
        <v>-2.4317092539885747</v>
      </c>
      <c r="I77" s="143">
        <f t="shared" si="29"/>
        <v>-1.26420904142974</v>
      </c>
      <c r="J77" s="143">
        <f t="shared" si="29"/>
        <v>-2.8423164670353285</v>
      </c>
      <c r="K77" s="143">
        <f t="shared" si="29"/>
        <v>-2.8105366034795174</v>
      </c>
      <c r="L77" s="143">
        <f t="shared" si="29"/>
        <v>0</v>
      </c>
    </row>
    <row r="78" spans="3:12" ht="14.25">
      <c r="C78" s="77" t="s">
        <v>86</v>
      </c>
      <c r="D78" s="143"/>
      <c r="E78" s="143">
        <f aca="true" t="shared" si="30" ref="E78:L78">+E75/E68*E71</f>
        <v>0</v>
      </c>
      <c r="F78" s="143">
        <f t="shared" si="30"/>
        <v>0</v>
      </c>
      <c r="G78" s="143">
        <f t="shared" si="30"/>
        <v>0</v>
      </c>
      <c r="H78" s="143">
        <f t="shared" si="30"/>
        <v>0</v>
      </c>
      <c r="I78" s="143">
        <f t="shared" si="30"/>
        <v>0</v>
      </c>
      <c r="J78" s="143">
        <f t="shared" si="30"/>
        <v>0</v>
      </c>
      <c r="K78" s="143">
        <f t="shared" si="30"/>
        <v>0</v>
      </c>
      <c r="L78" s="143">
        <f t="shared" si="30"/>
        <v>0</v>
      </c>
    </row>
    <row r="79" spans="3:12" ht="14.25">
      <c r="C79" s="63" t="s">
        <v>15</v>
      </c>
      <c r="D79" s="146"/>
      <c r="E79" s="146">
        <f aca="true" t="shared" si="31" ref="E79:L79">+SUM(E75:E78)</f>
        <v>-7.443213374109022</v>
      </c>
      <c r="F79" s="146">
        <f t="shared" si="31"/>
        <v>-11.619655787525335</v>
      </c>
      <c r="G79" s="146">
        <f t="shared" si="31"/>
        <v>-19.94517887498788</v>
      </c>
      <c r="H79" s="146">
        <f t="shared" si="31"/>
        <v>-29.90505268179843</v>
      </c>
      <c r="I79" s="146">
        <f t="shared" si="31"/>
        <v>-41.17357210757679</v>
      </c>
      <c r="J79" s="146">
        <f t="shared" si="31"/>
        <v>-56.3668852685128</v>
      </c>
      <c r="K79" s="146">
        <f t="shared" si="31"/>
        <v>-73.91748248969974</v>
      </c>
      <c r="L79" s="146">
        <f t="shared" si="31"/>
        <v>-91.05674426328879</v>
      </c>
    </row>
    <row r="80" spans="4:12" ht="14.25">
      <c r="D80" s="143"/>
      <c r="E80" s="143"/>
      <c r="F80" s="143"/>
      <c r="G80" s="143"/>
      <c r="H80" s="143"/>
      <c r="I80" s="143"/>
      <c r="J80" s="143"/>
      <c r="K80" s="143"/>
      <c r="L80" s="143"/>
    </row>
    <row r="81" spans="3:12" ht="15" thickBot="1">
      <c r="C81" s="63" t="s">
        <v>56</v>
      </c>
      <c r="D81" s="152"/>
      <c r="E81" s="152">
        <f aca="true" t="shared" si="32" ref="E81:L81">+E79+E72</f>
        <v>180.4966952296251</v>
      </c>
      <c r="F81" s="152">
        <f t="shared" si="32"/>
        <v>214.1139948007821</v>
      </c>
      <c r="G81" s="152">
        <f t="shared" si="32"/>
        <v>318.82222600200095</v>
      </c>
      <c r="H81" s="152">
        <f t="shared" si="32"/>
        <v>420.2889146138896</v>
      </c>
      <c r="I81" s="152">
        <f t="shared" si="32"/>
        <v>514.6212791179539</v>
      </c>
      <c r="J81" s="152">
        <f t="shared" si="32"/>
        <v>606.9358425283207</v>
      </c>
      <c r="K81" s="152">
        <f t="shared" si="32"/>
        <v>697.349297321808</v>
      </c>
      <c r="L81" s="152">
        <f t="shared" si="32"/>
        <v>759.3652475963908</v>
      </c>
    </row>
    <row r="82" spans="1:12" ht="15" thickTop="1">
      <c r="A82" s="67"/>
      <c r="B82" s="67"/>
      <c r="C82" s="67"/>
      <c r="D82" s="67"/>
      <c r="E82" s="67"/>
      <c r="F82" s="67"/>
      <c r="G82" s="67"/>
      <c r="H82" s="67"/>
      <c r="I82" s="67"/>
      <c r="J82" s="67"/>
      <c r="K82" s="67"/>
      <c r="L82" s="67"/>
    </row>
    <row r="83" ht="14.25">
      <c r="H83" s="143"/>
    </row>
    <row r="84" spans="2:8" ht="14.25">
      <c r="B84" s="69" t="s">
        <v>190</v>
      </c>
      <c r="H84" s="143"/>
    </row>
    <row r="85" spans="1:12" ht="14.25">
      <c r="A85" s="71"/>
      <c r="C85" s="63" t="s">
        <v>65</v>
      </c>
      <c r="D85" s="143"/>
      <c r="E85" s="143">
        <f>Input!E255</f>
        <v>1190.0702389942085</v>
      </c>
      <c r="F85" s="143">
        <f>(E85+E87+E88)</f>
        <v>1225.950333537023</v>
      </c>
      <c r="G85" s="143">
        <f aca="true" t="shared" si="33" ref="G85:L85">(F85+F87+F88)</f>
        <v>1263.7440755215964</v>
      </c>
      <c r="H85" s="143">
        <f t="shared" si="33"/>
        <v>1383.495786316967</v>
      </c>
      <c r="I85" s="143">
        <f t="shared" si="33"/>
        <v>1494.9223487356662</v>
      </c>
      <c r="J85" s="143">
        <f t="shared" si="33"/>
        <v>1600.5232326655089</v>
      </c>
      <c r="K85" s="143">
        <f t="shared" si="33"/>
        <v>1708.0311092368117</v>
      </c>
      <c r="L85" s="143">
        <f t="shared" si="33"/>
        <v>1815.995161251486</v>
      </c>
    </row>
    <row r="86" spans="3:12" ht="14.25">
      <c r="C86" s="63" t="s">
        <v>62</v>
      </c>
      <c r="D86" s="143"/>
      <c r="E86" s="143">
        <f>Input!E256</f>
        <v>-149.2265922183803</v>
      </c>
      <c r="F86" s="143">
        <f aca="true" t="shared" si="34" ref="F86:L86">E86+F52+F53+F76+F78-F101</f>
        <v>-187.22292316345764</v>
      </c>
      <c r="G86" s="143">
        <f t="shared" si="34"/>
        <v>-228.2770904328986</v>
      </c>
      <c r="H86" s="143">
        <f t="shared" si="34"/>
        <v>-271.0368258037118</v>
      </c>
      <c r="I86" s="143">
        <f t="shared" si="34"/>
        <v>-314.4492095622128</v>
      </c>
      <c r="J86" s="143">
        <f t="shared" si="34"/>
        <v>-361.13038982459136</v>
      </c>
      <c r="K86" s="143">
        <f t="shared" si="34"/>
        <v>-409.5128569159408</v>
      </c>
      <c r="L86" s="143">
        <f t="shared" si="34"/>
        <v>-456.8279913284123</v>
      </c>
    </row>
    <row r="87" spans="3:12" ht="14.25">
      <c r="C87" s="63" t="s">
        <v>63</v>
      </c>
      <c r="D87" s="143"/>
      <c r="E87" s="143">
        <f>Input!E257</f>
        <v>35.88009454281444</v>
      </c>
      <c r="F87" s="143">
        <f aca="true" t="shared" si="35" ref="F87:L87">+F64+F70+IF(F4=6,E119)</f>
        <v>37.793741984573344</v>
      </c>
      <c r="G87" s="143">
        <f t="shared" si="35"/>
        <v>119.75171079537071</v>
      </c>
      <c r="H87" s="143">
        <f t="shared" si="35"/>
        <v>111.4265624186992</v>
      </c>
      <c r="I87" s="143">
        <f t="shared" si="35"/>
        <v>105.60088392984268</v>
      </c>
      <c r="J87" s="143">
        <f t="shared" si="35"/>
        <v>107.50787657130279</v>
      </c>
      <c r="K87" s="143">
        <f t="shared" si="35"/>
        <v>107.96405201467428</v>
      </c>
      <c r="L87" s="143">
        <f t="shared" si="35"/>
        <v>79.15521204817183</v>
      </c>
    </row>
    <row r="88" spans="3:12" ht="14.25">
      <c r="C88" s="77" t="s">
        <v>88</v>
      </c>
      <c r="D88" s="143"/>
      <c r="E88" s="143">
        <f aca="true" t="shared" si="36" ref="E88:L88">E47+E71</f>
        <v>0</v>
      </c>
      <c r="F88" s="143">
        <f t="shared" si="36"/>
        <v>0</v>
      </c>
      <c r="G88" s="143">
        <f t="shared" si="36"/>
        <v>0</v>
      </c>
      <c r="H88" s="143">
        <f t="shared" si="36"/>
        <v>0</v>
      </c>
      <c r="I88" s="143">
        <f t="shared" si="36"/>
        <v>0</v>
      </c>
      <c r="J88" s="143">
        <f t="shared" si="36"/>
        <v>0</v>
      </c>
      <c r="K88" s="143">
        <f t="shared" si="36"/>
        <v>0</v>
      </c>
      <c r="L88" s="143">
        <f t="shared" si="36"/>
        <v>0</v>
      </c>
    </row>
    <row r="89" spans="3:12" ht="15" thickBot="1">
      <c r="C89" s="63" t="s">
        <v>64</v>
      </c>
      <c r="D89" s="152"/>
      <c r="E89" s="152">
        <f aca="true" t="shared" si="37" ref="E89:L89">+SUM(E85:E88)</f>
        <v>1076.7237413186426</v>
      </c>
      <c r="F89" s="152">
        <f t="shared" si="37"/>
        <v>1076.5211523581388</v>
      </c>
      <c r="G89" s="152">
        <f t="shared" si="37"/>
        <v>1155.2186958840684</v>
      </c>
      <c r="H89" s="152">
        <f t="shared" si="37"/>
        <v>1223.8855229319545</v>
      </c>
      <c r="I89" s="152">
        <f t="shared" si="37"/>
        <v>1286.0740231032962</v>
      </c>
      <c r="J89" s="152">
        <f t="shared" si="37"/>
        <v>1346.9007194122205</v>
      </c>
      <c r="K89" s="152">
        <f t="shared" si="37"/>
        <v>1406.4823043355452</v>
      </c>
      <c r="L89" s="152">
        <f t="shared" si="37"/>
        <v>1438.3223819712455</v>
      </c>
    </row>
    <row r="90" spans="3:12" ht="15" thickTop="1">
      <c r="C90" s="123" t="s">
        <v>89</v>
      </c>
      <c r="D90" s="143"/>
      <c r="E90" s="611" t="str">
        <f aca="true" t="shared" si="38" ref="E90:L90">IF(ABS(E89-E14)&gt;1,"err","ok!")</f>
        <v>ok!</v>
      </c>
      <c r="F90" s="611" t="str">
        <f t="shared" si="38"/>
        <v>ok!</v>
      </c>
      <c r="G90" s="611" t="str">
        <f t="shared" si="38"/>
        <v>ok!</v>
      </c>
      <c r="H90" s="611" t="str">
        <f t="shared" si="38"/>
        <v>ok!</v>
      </c>
      <c r="I90" s="611" t="str">
        <f t="shared" si="38"/>
        <v>ok!</v>
      </c>
      <c r="J90" s="611" t="str">
        <f t="shared" si="38"/>
        <v>ok!</v>
      </c>
      <c r="K90" s="611" t="str">
        <f t="shared" si="38"/>
        <v>ok!</v>
      </c>
      <c r="L90" s="611" t="str">
        <f t="shared" si="38"/>
        <v>ok!</v>
      </c>
    </row>
    <row r="91" spans="5:12" ht="14.25">
      <c r="E91" s="143">
        <f aca="true" t="shared" si="39" ref="E91:L91">+E89-E14</f>
        <v>0</v>
      </c>
      <c r="F91" s="143">
        <f t="shared" si="39"/>
        <v>0</v>
      </c>
      <c r="G91" s="143">
        <f t="shared" si="39"/>
        <v>0</v>
      </c>
      <c r="H91" s="143">
        <f t="shared" si="39"/>
        <v>0</v>
      </c>
      <c r="I91" s="143">
        <f t="shared" si="39"/>
        <v>0</v>
      </c>
      <c r="J91" s="143">
        <f t="shared" si="39"/>
        <v>0</v>
      </c>
      <c r="K91" s="143">
        <f t="shared" si="39"/>
        <v>0</v>
      </c>
      <c r="L91" s="143">
        <f t="shared" si="39"/>
        <v>0</v>
      </c>
    </row>
    <row r="92" spans="2:9" ht="14.25">
      <c r="B92" s="69" t="s">
        <v>544</v>
      </c>
      <c r="H92" s="143"/>
      <c r="I92" s="143"/>
    </row>
    <row r="93" spans="3:8" ht="14.25">
      <c r="C93" s="63" t="s">
        <v>542</v>
      </c>
      <c r="H93" s="143"/>
    </row>
    <row r="94" spans="3:12" ht="14.25">
      <c r="C94" s="63" t="s">
        <v>545</v>
      </c>
      <c r="E94" s="70">
        <f>Input!E258</f>
        <v>50.68769294245398</v>
      </c>
      <c r="F94" s="70">
        <f aca="true" t="shared" si="40" ref="F94:L94">+E97</f>
        <v>76.26854114577193</v>
      </c>
      <c r="G94" s="70">
        <f t="shared" si="40"/>
        <v>101.5633705770876</v>
      </c>
      <c r="H94" s="70">
        <f t="shared" si="40"/>
        <v>84.13894229339844</v>
      </c>
      <c r="I94" s="70">
        <f t="shared" si="40"/>
        <v>62.25355900750127</v>
      </c>
      <c r="J94" s="70">
        <f t="shared" si="40"/>
        <v>50.87567763463362</v>
      </c>
      <c r="K94" s="70">
        <f t="shared" si="40"/>
        <v>25.294829431315662</v>
      </c>
      <c r="L94" s="70">
        <f t="shared" si="40"/>
        <v>0</v>
      </c>
    </row>
    <row r="95" spans="3:12" ht="14.25">
      <c r="C95" s="63" t="s">
        <v>122</v>
      </c>
      <c r="E95" s="70">
        <f>+Input!E121</f>
        <v>25.580848203317956</v>
      </c>
      <c r="F95" s="70">
        <f>+Input!F121</f>
        <v>25.294829431315655</v>
      </c>
      <c r="G95" s="70">
        <f>+Input!G121</f>
        <v>0</v>
      </c>
      <c r="H95" s="70">
        <f>+Input!H121</f>
        <v>0</v>
      </c>
      <c r="I95" s="70">
        <f>+Input!I121</f>
        <v>0</v>
      </c>
      <c r="J95" s="70">
        <f>+Input!J121</f>
        <v>0</v>
      </c>
      <c r="K95" s="70">
        <f>+Input!K121</f>
        <v>0</v>
      </c>
      <c r="L95" s="70">
        <f>+Input!L121</f>
        <v>0</v>
      </c>
    </row>
    <row r="96" spans="3:12" ht="14.25">
      <c r="C96" s="63" t="s">
        <v>546</v>
      </c>
      <c r="E96" s="70">
        <v>0</v>
      </c>
      <c r="F96" s="70">
        <v>0</v>
      </c>
      <c r="G96" s="70">
        <f>Input!G259</f>
        <v>-17.424428283689153</v>
      </c>
      <c r="H96" s="70">
        <f>Input!H259</f>
        <v>-21.88538328589717</v>
      </c>
      <c r="I96" s="70">
        <f>Input!I259</f>
        <v>-11.377881372867659</v>
      </c>
      <c r="J96" s="70">
        <f>-E95</f>
        <v>-25.580848203317956</v>
      </c>
      <c r="K96" s="70">
        <f>-F95</f>
        <v>-25.294829431315655</v>
      </c>
      <c r="L96" s="70">
        <f>Input!L259</f>
        <v>0</v>
      </c>
    </row>
    <row r="97" spans="3:12" ht="14.25">
      <c r="C97" s="63" t="s">
        <v>547</v>
      </c>
      <c r="E97" s="70">
        <f aca="true" t="shared" si="41" ref="E97:L97">+SUM(E94:E96)</f>
        <v>76.26854114577193</v>
      </c>
      <c r="F97" s="70">
        <f t="shared" si="41"/>
        <v>101.5633705770876</v>
      </c>
      <c r="G97" s="70">
        <f t="shared" si="41"/>
        <v>84.13894229339844</v>
      </c>
      <c r="H97" s="70">
        <f t="shared" si="41"/>
        <v>62.25355900750127</v>
      </c>
      <c r="I97" s="70">
        <f t="shared" si="41"/>
        <v>50.87567763463362</v>
      </c>
      <c r="J97" s="70">
        <f t="shared" si="41"/>
        <v>25.294829431315662</v>
      </c>
      <c r="K97" s="70">
        <f t="shared" si="41"/>
        <v>0</v>
      </c>
      <c r="L97" s="70">
        <f t="shared" si="41"/>
        <v>0</v>
      </c>
    </row>
    <row r="98" spans="3:12" ht="14.25">
      <c r="C98" s="63" t="s">
        <v>726</v>
      </c>
      <c r="D98" s="63">
        <v>5</v>
      </c>
      <c r="E98" s="70"/>
      <c r="F98" s="70"/>
      <c r="G98" s="70"/>
      <c r="H98" s="70"/>
      <c r="I98" s="70"/>
      <c r="J98" s="70"/>
      <c r="K98" s="70"/>
      <c r="L98" s="70"/>
    </row>
    <row r="99" spans="3:12" ht="14.25">
      <c r="C99" s="63" t="s">
        <v>548</v>
      </c>
      <c r="E99" s="70">
        <f>Input!E260</f>
        <v>-1.2607608856283439</v>
      </c>
      <c r="F99" s="70">
        <f aca="true" t="shared" si="42" ref="F99:L99">+E102</f>
        <v>-2.387154062127321</v>
      </c>
      <c r="G99" s="70">
        <f t="shared" si="42"/>
        <v>-4.0820105320333635</v>
      </c>
      <c r="H99" s="70">
        <f t="shared" si="42"/>
        <v>-4.402926735558737</v>
      </c>
      <c r="I99" s="70">
        <f t="shared" si="42"/>
        <v>-3.8409717547567945</v>
      </c>
      <c r="J99" s="70">
        <f t="shared" si="42"/>
        <v>-3.9601751357159722</v>
      </c>
      <c r="K99" s="70">
        <f t="shared" si="42"/>
        <v>-2.2484292827836128</v>
      </c>
      <c r="L99" s="70">
        <f t="shared" si="42"/>
        <v>0</v>
      </c>
    </row>
    <row r="100" spans="3:12" ht="14.25">
      <c r="C100" s="63" t="s">
        <v>786</v>
      </c>
      <c r="E100" s="70">
        <f aca="true" t="shared" si="43" ref="E100:L100">-E94/$D$61</f>
        <v>-1.1263931764989772</v>
      </c>
      <c r="F100" s="70">
        <f t="shared" si="43"/>
        <v>-1.6948564699060429</v>
      </c>
      <c r="G100" s="70">
        <f t="shared" si="43"/>
        <v>-2.2569637906019464</v>
      </c>
      <c r="H100" s="70">
        <f t="shared" si="43"/>
        <v>-1.8697542731866321</v>
      </c>
      <c r="I100" s="70">
        <f t="shared" si="43"/>
        <v>-1.3834124223889173</v>
      </c>
      <c r="J100" s="70">
        <f t="shared" si="43"/>
        <v>-1.1305706141029692</v>
      </c>
      <c r="K100" s="70">
        <f t="shared" si="43"/>
        <v>-0.5621073206959036</v>
      </c>
      <c r="L100" s="70">
        <f t="shared" si="43"/>
        <v>0</v>
      </c>
    </row>
    <row r="101" spans="3:12" ht="14.25">
      <c r="C101" s="63" t="s">
        <v>546</v>
      </c>
      <c r="E101" s="70">
        <v>0</v>
      </c>
      <c r="F101" s="70">
        <v>0</v>
      </c>
      <c r="G101" s="70">
        <f aca="true" t="shared" si="44" ref="G101:L101">-G96*$D$98/$D$61</f>
        <v>1.9360475870765725</v>
      </c>
      <c r="H101" s="70">
        <f t="shared" si="44"/>
        <v>2.4317092539885747</v>
      </c>
      <c r="I101" s="70">
        <f t="shared" si="44"/>
        <v>1.26420904142974</v>
      </c>
      <c r="J101" s="70">
        <f t="shared" si="44"/>
        <v>2.8423164670353285</v>
      </c>
      <c r="K101" s="70">
        <f t="shared" si="44"/>
        <v>2.8105366034795174</v>
      </c>
      <c r="L101" s="70">
        <f t="shared" si="44"/>
        <v>0</v>
      </c>
    </row>
    <row r="102" spans="3:12" ht="15" thickBot="1">
      <c r="C102" s="63" t="s">
        <v>547</v>
      </c>
      <c r="D102" s="152"/>
      <c r="E102" s="152">
        <f aca="true" t="shared" si="45" ref="E102:L102">+SUM(E99:E101)</f>
        <v>-2.387154062127321</v>
      </c>
      <c r="F102" s="152">
        <f t="shared" si="45"/>
        <v>-4.0820105320333635</v>
      </c>
      <c r="G102" s="152">
        <f t="shared" si="45"/>
        <v>-4.402926735558737</v>
      </c>
      <c r="H102" s="152">
        <f t="shared" si="45"/>
        <v>-3.8409717547567945</v>
      </c>
      <c r="I102" s="152">
        <f t="shared" si="45"/>
        <v>-3.9601751357159722</v>
      </c>
      <c r="J102" s="152">
        <f t="shared" si="45"/>
        <v>-2.2484292827836128</v>
      </c>
      <c r="K102" s="152">
        <f t="shared" si="45"/>
        <v>0</v>
      </c>
      <c r="L102" s="152">
        <f t="shared" si="45"/>
        <v>0</v>
      </c>
    </row>
    <row r="103" ht="15" thickTop="1"/>
    <row r="106" spans="2:6" ht="14.25">
      <c r="B106" s="69"/>
      <c r="C106" s="63" t="s">
        <v>458</v>
      </c>
      <c r="E106" s="70"/>
      <c r="F106" s="70"/>
    </row>
    <row r="107" spans="3:12" ht="14.25">
      <c r="C107" s="63" t="s">
        <v>552</v>
      </c>
      <c r="E107" s="70">
        <f>Input!E261</f>
        <v>16.985155905269362</v>
      </c>
      <c r="F107" s="70">
        <f aca="true" t="shared" si="46" ref="F107:L107">+IF(F4=6,0,E109)</f>
        <v>29.040224663609166</v>
      </c>
      <c r="G107" s="70">
        <f t="shared" si="46"/>
        <v>0</v>
      </c>
      <c r="H107" s="70">
        <f t="shared" si="46"/>
        <v>0</v>
      </c>
      <c r="I107" s="70">
        <f t="shared" si="46"/>
        <v>0</v>
      </c>
      <c r="J107" s="70">
        <f t="shared" si="46"/>
        <v>0</v>
      </c>
      <c r="K107" s="70">
        <f t="shared" si="46"/>
        <v>0</v>
      </c>
      <c r="L107" s="70">
        <f t="shared" si="46"/>
        <v>0</v>
      </c>
    </row>
    <row r="108" spans="3:12" ht="14.25">
      <c r="C108" s="63" t="s">
        <v>122</v>
      </c>
      <c r="E108" s="70">
        <f>+Input!E122</f>
        <v>12.055068758339804</v>
      </c>
      <c r="F108" s="70">
        <f>Input!F122</f>
        <v>8.989020856434687</v>
      </c>
      <c r="G108" s="70">
        <f>Input!G122</f>
        <v>0</v>
      </c>
      <c r="H108" s="70">
        <f>Input!H122</f>
        <v>0</v>
      </c>
      <c r="I108" s="70">
        <f>Input!I122</f>
        <v>0</v>
      </c>
      <c r="J108" s="70">
        <f>Input!J122</f>
        <v>0</v>
      </c>
      <c r="K108" s="70">
        <f>Input!K122</f>
        <v>0</v>
      </c>
      <c r="L108" s="70">
        <f>Input!L122</f>
        <v>0</v>
      </c>
    </row>
    <row r="109" spans="3:12" ht="14.25">
      <c r="C109" s="63" t="s">
        <v>553</v>
      </c>
      <c r="E109" s="70">
        <f aca="true" t="shared" si="47" ref="E109:L109">+E107+E108</f>
        <v>29.040224663609166</v>
      </c>
      <c r="F109" s="70">
        <f t="shared" si="47"/>
        <v>38.02924552004385</v>
      </c>
      <c r="G109" s="70">
        <f t="shared" si="47"/>
        <v>0</v>
      </c>
      <c r="H109" s="70">
        <f t="shared" si="47"/>
        <v>0</v>
      </c>
      <c r="I109" s="70">
        <f t="shared" si="47"/>
        <v>0</v>
      </c>
      <c r="J109" s="70">
        <f t="shared" si="47"/>
        <v>0</v>
      </c>
      <c r="K109" s="70">
        <f t="shared" si="47"/>
        <v>0</v>
      </c>
      <c r="L109" s="70">
        <f t="shared" si="47"/>
        <v>0</v>
      </c>
    </row>
    <row r="110" spans="5:7" ht="14.25">
      <c r="E110" s="401"/>
      <c r="F110" s="401"/>
      <c r="G110" s="401"/>
    </row>
    <row r="111" spans="3:12" ht="14.25">
      <c r="C111" s="63" t="s">
        <v>554</v>
      </c>
      <c r="E111" s="70">
        <f>Input!E262</f>
        <v>-1.0291373072315513</v>
      </c>
      <c r="F111" s="70">
        <f aca="true" t="shared" si="48" ref="F111:L111">+IF(F4=6,0,E113)</f>
        <v>-1.5050306664415758</v>
      </c>
      <c r="G111" s="70">
        <f t="shared" si="48"/>
        <v>0</v>
      </c>
      <c r="H111" s="70">
        <f t="shared" si="48"/>
        <v>0</v>
      </c>
      <c r="I111" s="70">
        <f t="shared" si="48"/>
        <v>0</v>
      </c>
      <c r="J111" s="70">
        <f t="shared" si="48"/>
        <v>0</v>
      </c>
      <c r="K111" s="70">
        <f t="shared" si="48"/>
        <v>0</v>
      </c>
      <c r="L111" s="70">
        <f t="shared" si="48"/>
        <v>0</v>
      </c>
    </row>
    <row r="112" spans="3:12" ht="14.25">
      <c r="C112" s="63" t="s">
        <v>181</v>
      </c>
      <c r="E112" s="70">
        <f>Input!E263</f>
        <v>-0.4758933592100245</v>
      </c>
      <c r="F112" s="172">
        <f>IF(F4&lt;5.5,-(F107-Input!$D$245)/$D$61+Input!$D$245/F48*F52,0)</f>
        <v>-0.7381690165446795</v>
      </c>
      <c r="G112" s="172">
        <f>IF(G4&lt;5.5,-(G107-Input!$D$245)/$D$61+Input!$D$245/G48*G52,0)</f>
        <v>0</v>
      </c>
      <c r="H112" s="172">
        <f>IF(H4&lt;5.5,-(H107-Input!$D$245)/$D$61+Input!$D$245/H48*H52,0)</f>
        <v>0</v>
      </c>
      <c r="I112" s="172">
        <f>IF(I4&lt;5.5,-(I107-Input!$D$245)/$D$61+Input!$D$245/I48*I52,0)</f>
        <v>0</v>
      </c>
      <c r="J112" s="172">
        <f>IF(J4&lt;5.5,-(J107-Input!$D$245)/$D$61+Input!$D$245/J48*J52,0)</f>
        <v>0</v>
      </c>
      <c r="K112" s="172">
        <f>IF(K4&lt;5.5,-(K107-Input!$D$245)/$D$61+Input!$D$245/K48*K52,0)</f>
        <v>0</v>
      </c>
      <c r="L112" s="172">
        <f>IF(L4&lt;5.5,-(L107-Input!$D$245)/$D$61+Input!$D$245/L48*L52,0)</f>
        <v>0</v>
      </c>
    </row>
    <row r="113" spans="3:12" ht="14.25">
      <c r="C113" s="63" t="s">
        <v>555</v>
      </c>
      <c r="E113" s="70">
        <f aca="true" t="shared" si="49" ref="E113:L113">+E111+E112</f>
        <v>-1.5050306664415758</v>
      </c>
      <c r="F113" s="70">
        <f t="shared" si="49"/>
        <v>-2.2431996829862553</v>
      </c>
      <c r="G113" s="70">
        <f t="shared" si="49"/>
        <v>0</v>
      </c>
      <c r="H113" s="70">
        <f t="shared" si="49"/>
        <v>0</v>
      </c>
      <c r="I113" s="70">
        <f t="shared" si="49"/>
        <v>0</v>
      </c>
      <c r="J113" s="70">
        <f t="shared" si="49"/>
        <v>0</v>
      </c>
      <c r="K113" s="70">
        <f t="shared" si="49"/>
        <v>0</v>
      </c>
      <c r="L113" s="70">
        <f t="shared" si="49"/>
        <v>0</v>
      </c>
    </row>
    <row r="115" ht="14.25">
      <c r="C115" s="63" t="s">
        <v>568</v>
      </c>
    </row>
    <row r="116" spans="3:12" ht="14.25">
      <c r="C116" s="63" t="s">
        <v>545</v>
      </c>
      <c r="E116" s="70">
        <f aca="true" t="shared" si="50" ref="E116:L116">+E107+E111</f>
        <v>15.956018598037812</v>
      </c>
      <c r="F116" s="70">
        <f t="shared" si="50"/>
        <v>27.53519399716759</v>
      </c>
      <c r="G116" s="70">
        <f t="shared" si="50"/>
        <v>0</v>
      </c>
      <c r="H116" s="70">
        <f t="shared" si="50"/>
        <v>0</v>
      </c>
      <c r="I116" s="70">
        <f t="shared" si="50"/>
        <v>0</v>
      </c>
      <c r="J116" s="70">
        <f t="shared" si="50"/>
        <v>0</v>
      </c>
      <c r="K116" s="70">
        <f t="shared" si="50"/>
        <v>0</v>
      </c>
      <c r="L116" s="70">
        <f t="shared" si="50"/>
        <v>0</v>
      </c>
    </row>
    <row r="117" spans="3:12" ht="14.25">
      <c r="C117" s="63" t="s">
        <v>122</v>
      </c>
      <c r="E117" s="70">
        <f aca="true" t="shared" si="51" ref="E117:L117">+E108</f>
        <v>12.055068758339804</v>
      </c>
      <c r="F117" s="70">
        <f t="shared" si="51"/>
        <v>8.989020856434687</v>
      </c>
      <c r="G117" s="70">
        <f t="shared" si="51"/>
        <v>0</v>
      </c>
      <c r="H117" s="70">
        <f t="shared" si="51"/>
        <v>0</v>
      </c>
      <c r="I117" s="70">
        <f t="shared" si="51"/>
        <v>0</v>
      </c>
      <c r="J117" s="70">
        <f t="shared" si="51"/>
        <v>0</v>
      </c>
      <c r="K117" s="70">
        <f t="shared" si="51"/>
        <v>0</v>
      </c>
      <c r="L117" s="70">
        <f t="shared" si="51"/>
        <v>0</v>
      </c>
    </row>
    <row r="118" spans="3:12" ht="14.25">
      <c r="C118" s="63" t="s">
        <v>786</v>
      </c>
      <c r="E118" s="70">
        <f aca="true" t="shared" si="52" ref="E118:L118">+E112</f>
        <v>-0.4758933592100245</v>
      </c>
      <c r="F118" s="70">
        <f t="shared" si="52"/>
        <v>-0.7381690165446795</v>
      </c>
      <c r="G118" s="70">
        <f t="shared" si="52"/>
        <v>0</v>
      </c>
      <c r="H118" s="70">
        <f t="shared" si="52"/>
        <v>0</v>
      </c>
      <c r="I118" s="70">
        <f t="shared" si="52"/>
        <v>0</v>
      </c>
      <c r="J118" s="70">
        <f t="shared" si="52"/>
        <v>0</v>
      </c>
      <c r="K118" s="70">
        <f t="shared" si="52"/>
        <v>0</v>
      </c>
      <c r="L118" s="70">
        <f t="shared" si="52"/>
        <v>0</v>
      </c>
    </row>
    <row r="119" spans="3:12" ht="14.25">
      <c r="C119" s="63" t="s">
        <v>547</v>
      </c>
      <c r="E119" s="70">
        <f aca="true" t="shared" si="53" ref="E119:L119">+E109+E113</f>
        <v>27.53519399716759</v>
      </c>
      <c r="F119" s="70">
        <f t="shared" si="53"/>
        <v>35.78604583705759</v>
      </c>
      <c r="G119" s="70">
        <f t="shared" si="53"/>
        <v>0</v>
      </c>
      <c r="H119" s="70">
        <f t="shared" si="53"/>
        <v>0</v>
      </c>
      <c r="I119" s="70">
        <f t="shared" si="53"/>
        <v>0</v>
      </c>
      <c r="J119" s="70">
        <f t="shared" si="53"/>
        <v>0</v>
      </c>
      <c r="K119" s="70">
        <f t="shared" si="53"/>
        <v>0</v>
      </c>
      <c r="L119" s="70">
        <f t="shared" si="53"/>
        <v>0</v>
      </c>
    </row>
    <row r="121" ht="14.25">
      <c r="B121" s="69" t="s">
        <v>357</v>
      </c>
    </row>
    <row r="122" spans="2:12" ht="14.25">
      <c r="B122" s="216"/>
      <c r="C122" s="63" t="s">
        <v>574</v>
      </c>
      <c r="F122" s="179"/>
      <c r="G122" s="612">
        <f>G124</f>
        <v>1.1168663589970573</v>
      </c>
      <c r="H122" s="151">
        <f>H127</f>
        <v>1.1065410379232148</v>
      </c>
      <c r="I122" s="151">
        <f>I127</f>
        <v>1.1065410379232148</v>
      </c>
      <c r="J122" s="151">
        <f>J127</f>
        <v>1.1065410379232148</v>
      </c>
      <c r="K122" s="151">
        <f>K127</f>
        <v>1.1065410379232148</v>
      </c>
      <c r="L122" s="151">
        <f>L127</f>
        <v>1.1065410379232148</v>
      </c>
    </row>
    <row r="123" spans="2:12" ht="14.25">
      <c r="B123" s="71"/>
      <c r="C123" s="63" t="s">
        <v>443</v>
      </c>
      <c r="D123" s="129"/>
      <c r="E123" s="160"/>
      <c r="F123" s="160"/>
      <c r="G123" s="151">
        <f>Input!G264</f>
        <v>5.769564498636</v>
      </c>
      <c r="H123" s="129"/>
      <c r="I123" s="129"/>
      <c r="J123" s="129"/>
      <c r="K123" s="129"/>
      <c r="L123" s="129"/>
    </row>
    <row r="124" spans="3:34" s="71" customFormat="1" ht="14.25">
      <c r="C124" s="71" t="s">
        <v>227</v>
      </c>
      <c r="E124" s="76"/>
      <c r="F124" s="76"/>
      <c r="G124" s="172">
        <f>Input!G228</f>
        <v>1.1168663589970573</v>
      </c>
      <c r="AH124" s="613"/>
    </row>
    <row r="125" spans="3:34" s="71" customFormat="1" ht="14.25">
      <c r="C125" s="71" t="s">
        <v>228</v>
      </c>
      <c r="E125" s="76"/>
      <c r="F125" s="76"/>
      <c r="G125" s="172">
        <f>G124*'Allowed revenue'!G16</f>
        <v>1.0886547142240404</v>
      </c>
      <c r="AH125" s="613"/>
    </row>
    <row r="126" spans="3:34" s="71" customFormat="1" ht="14.25">
      <c r="C126" s="71" t="s">
        <v>234</v>
      </c>
      <c r="E126" s="76"/>
      <c r="F126" s="76"/>
      <c r="G126" s="172">
        <f>G123-G125</f>
        <v>4.680909784411959</v>
      </c>
      <c r="AH126" s="613"/>
    </row>
    <row r="127" spans="3:34" s="71" customFormat="1" ht="14.25">
      <c r="C127" s="71" t="s">
        <v>230</v>
      </c>
      <c r="G127" s="172"/>
      <c r="H127" s="172">
        <f>+$G$126/SUM('Allowed revenue'!$H$16:$L$16)</f>
        <v>1.1065410379232148</v>
      </c>
      <c r="I127" s="172">
        <f>+$G$126/SUM('Allowed revenue'!$H$16:$L$16)</f>
        <v>1.1065410379232148</v>
      </c>
      <c r="J127" s="172">
        <f>+$G$126/SUM('Allowed revenue'!$H$16:$L$16)</f>
        <v>1.1065410379232148</v>
      </c>
      <c r="K127" s="172">
        <f>+$G$126/SUM('Allowed revenue'!$H$16:$L$16)</f>
        <v>1.1065410379232148</v>
      </c>
      <c r="L127" s="172">
        <f>+$G$126/SUM('Allowed revenue'!$H$16:$L$16)</f>
        <v>1.1065410379232148</v>
      </c>
      <c r="AH127" s="613"/>
    </row>
    <row r="128" ht="14.25">
      <c r="B128" s="71"/>
    </row>
    <row r="129" spans="2:8" ht="14.25">
      <c r="B129" s="71"/>
      <c r="C129" s="63" t="s">
        <v>244</v>
      </c>
      <c r="G129" s="70">
        <f>Input!G287-Input!G286</f>
        <v>0.08175778635801034</v>
      </c>
      <c r="H129" s="70"/>
    </row>
    <row r="130" spans="2:8" ht="14.25">
      <c r="B130" s="71"/>
      <c r="C130" s="63" t="s">
        <v>108</v>
      </c>
      <c r="G130" s="70"/>
      <c r="H130" s="70">
        <f>G129/'Allowed revenue'!H16</f>
        <v>0.08810945232897756</v>
      </c>
    </row>
    <row r="131" spans="2:12" ht="14.25">
      <c r="B131" s="71"/>
      <c r="C131" s="63" t="s">
        <v>247</v>
      </c>
      <c r="G131" s="614">
        <f aca="true" t="shared" si="54" ref="G131:L131">G122+G130</f>
        <v>1.1168663589970573</v>
      </c>
      <c r="H131" s="614">
        <f t="shared" si="54"/>
        <v>1.1946504902521924</v>
      </c>
      <c r="I131" s="614">
        <f t="shared" si="54"/>
        <v>1.1065410379232148</v>
      </c>
      <c r="J131" s="614">
        <f t="shared" si="54"/>
        <v>1.1065410379232148</v>
      </c>
      <c r="K131" s="614">
        <f t="shared" si="54"/>
        <v>1.1065410379232148</v>
      </c>
      <c r="L131" s="614">
        <f t="shared" si="54"/>
        <v>1.1065410379232148</v>
      </c>
    </row>
    <row r="133" ht="14.25">
      <c r="B133" s="69" t="s">
        <v>460</v>
      </c>
    </row>
    <row r="134" spans="3:12" ht="14.25">
      <c r="C134" s="69" t="s">
        <v>461</v>
      </c>
      <c r="E134" s="70">
        <f aca="true" t="shared" si="55" ref="E134:L134">+E94+E99</f>
        <v>49.426932056825635</v>
      </c>
      <c r="F134" s="70">
        <f t="shared" si="55"/>
        <v>73.88138708364461</v>
      </c>
      <c r="G134" s="70">
        <f t="shared" si="55"/>
        <v>97.48136004505423</v>
      </c>
      <c r="H134" s="70">
        <f t="shared" si="55"/>
        <v>79.7360155578397</v>
      </c>
      <c r="I134" s="70">
        <f t="shared" si="55"/>
        <v>58.41258725274448</v>
      </c>
      <c r="J134" s="70">
        <f t="shared" si="55"/>
        <v>46.91550249891765</v>
      </c>
      <c r="K134" s="70">
        <f t="shared" si="55"/>
        <v>23.04640014853205</v>
      </c>
      <c r="L134" s="70">
        <f t="shared" si="55"/>
        <v>0</v>
      </c>
    </row>
    <row r="135" spans="3:12" ht="14.25">
      <c r="C135" s="69" t="s">
        <v>470</v>
      </c>
      <c r="E135" s="70">
        <f aca="true" t="shared" si="56" ref="E135:L135">+E97+E102</f>
        <v>73.88138708364461</v>
      </c>
      <c r="F135" s="70">
        <f t="shared" si="56"/>
        <v>97.48136004505423</v>
      </c>
      <c r="G135" s="70">
        <f t="shared" si="56"/>
        <v>79.7360155578397</v>
      </c>
      <c r="H135" s="70">
        <f t="shared" si="56"/>
        <v>58.41258725274448</v>
      </c>
      <c r="I135" s="70">
        <f t="shared" si="56"/>
        <v>46.91550249891765</v>
      </c>
      <c r="J135" s="70">
        <f t="shared" si="56"/>
        <v>23.04640014853205</v>
      </c>
      <c r="K135" s="70">
        <f t="shared" si="56"/>
        <v>0</v>
      </c>
      <c r="L135" s="70">
        <f t="shared" si="56"/>
        <v>0</v>
      </c>
    </row>
    <row r="136" spans="3:11" ht="14.25">
      <c r="C136" s="69" t="s">
        <v>471</v>
      </c>
      <c r="G136" s="70">
        <f>+G135*'Allowed revenue'!G14</f>
        <v>75.75868461552467</v>
      </c>
      <c r="H136" s="70">
        <f>+H135*'Allowed revenue'!H14</f>
        <v>55.71394313227492</v>
      </c>
      <c r="I136" s="70">
        <f>+I135*'Allowed revenue'!I14</f>
        <v>44.74802026722399</v>
      </c>
      <c r="J136" s="70">
        <f>+J135*'Allowed revenue'!J14</f>
        <v>21.981663330939664</v>
      </c>
      <c r="K136" s="70">
        <f>+K135*'Allowed revenue'!K14</f>
        <v>0</v>
      </c>
    </row>
    <row r="137" spans="3:11" ht="14.25">
      <c r="C137" s="69" t="s">
        <v>473</v>
      </c>
      <c r="G137" s="70">
        <f>+(G134-G136)/'Allowed revenue'!G13</f>
        <v>22.285601759366145</v>
      </c>
      <c r="H137" s="70">
        <f>+(H134-H136)/'Allowed revenue'!H13</f>
        <v>24.59697757056503</v>
      </c>
      <c r="I137" s="70">
        <f>+(I134-I136)/'Allowed revenue'!I13</f>
        <v>13.991592469625509</v>
      </c>
      <c r="J137" s="70">
        <f>+(J134-J136)/'Allowed revenue'!J13</f>
        <v>25.530565052753186</v>
      </c>
      <c r="K137" s="70">
        <f>+(K134-K136)/'Allowed revenue'!K13</f>
        <v>23.59795514280578</v>
      </c>
    </row>
    <row r="138" spans="3:11" ht="14.25">
      <c r="C138" s="69" t="s">
        <v>472</v>
      </c>
      <c r="G138" s="70">
        <f>+G95+G96+G101</f>
        <v>-15.48838069661258</v>
      </c>
      <c r="H138" s="70">
        <f>+H95+H96+H101</f>
        <v>-19.453674031908594</v>
      </c>
      <c r="I138" s="70">
        <f>+I95+I96+I101</f>
        <v>-10.113672331437918</v>
      </c>
      <c r="J138" s="70">
        <f>+J95+J96+J101</f>
        <v>-22.738531736282628</v>
      </c>
      <c r="K138" s="70">
        <f>+K95+K96+K101</f>
        <v>-22.48429282783614</v>
      </c>
    </row>
    <row r="139" spans="3:11" ht="14.25">
      <c r="C139" s="69" t="s">
        <v>474</v>
      </c>
      <c r="G139" s="70">
        <f>+G137+G138</f>
        <v>6.7972210627535645</v>
      </c>
      <c r="H139" s="70">
        <f>+H137+H138</f>
        <v>5.143303538656436</v>
      </c>
      <c r="I139" s="70">
        <f>+I137+I138</f>
        <v>3.8779201381875907</v>
      </c>
      <c r="J139" s="70">
        <f>+J137+J138</f>
        <v>2.792033316470558</v>
      </c>
      <c r="K139" s="70">
        <f>+K137+K138</f>
        <v>1.1136623149696412</v>
      </c>
    </row>
    <row r="140" spans="3:11" ht="14.25">
      <c r="C140" s="69" t="s">
        <v>475</v>
      </c>
      <c r="G140" s="70">
        <f>-G139</f>
        <v>-6.7972210627535645</v>
      </c>
      <c r="H140" s="70">
        <f>-H139</f>
        <v>-5.143303538656436</v>
      </c>
      <c r="I140" s="70">
        <f>-I139</f>
        <v>-3.8779201381875907</v>
      </c>
      <c r="J140" s="70">
        <f>-J139</f>
        <v>-2.792033316470558</v>
      </c>
      <c r="K140" s="70">
        <f>-K139</f>
        <v>-1.1136623149696412</v>
      </c>
    </row>
    <row r="141" spans="3:7" ht="14.25">
      <c r="C141" s="69" t="s">
        <v>339</v>
      </c>
      <c r="G141" s="75">
        <f>1-+(1-5/45)/(1+'Allowed revenue'!$G$10)^5</f>
        <v>0.31176468267221946</v>
      </c>
    </row>
    <row r="142" spans="3:7" ht="14.25">
      <c r="C142" s="69" t="s">
        <v>193</v>
      </c>
      <c r="E142" s="75">
        <f>1-(1-(5.5-E4)/45)/(1+'Output checks'!$G$6)^(5.5-E4)</f>
        <v>0.1047515321596959</v>
      </c>
      <c r="F142" s="75">
        <f>1-(1-(5.5-F4)/45)/(1+'Output checks'!$G$6)^(5.5-F4)</f>
        <v>0.036090090761254245</v>
      </c>
      <c r="G142" s="75">
        <f>+SUMPRODUCT(E142:F142,E95:F95)/F135</f>
        <v>0.03685346338570146</v>
      </c>
    </row>
    <row r="143" spans="3:7" ht="14.25">
      <c r="C143" s="69" t="s">
        <v>772</v>
      </c>
      <c r="G143" s="89">
        <v>0.22573526800624677</v>
      </c>
    </row>
    <row r="144" spans="3:11" ht="14.25">
      <c r="C144" s="69" t="s">
        <v>194</v>
      </c>
      <c r="G144" s="70">
        <f>+($G$143-$G$142)/($G$141-$G$142)*G140</f>
        <v>-4.670130902877403</v>
      </c>
      <c r="H144" s="70">
        <f>+($G$143-$G$142)/($G$141-$G$142)*H140</f>
        <v>-3.5337824939045945</v>
      </c>
      <c r="I144" s="70">
        <f>+($G$143-$G$142)/($G$141-$G$142)*I140</f>
        <v>-2.6643821804588965</v>
      </c>
      <c r="J144" s="70">
        <f>+($G$143-$G$142)/($G$141-$G$142)*J140</f>
        <v>-1.9183076367138567</v>
      </c>
      <c r="K144" s="70">
        <f>+($G$143-$G$142)/($G$141-$G$142)*K140</f>
        <v>-0.7651581057160436</v>
      </c>
    </row>
  </sheetData>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35" r:id="rId1"/>
  <headerFooter alignWithMargins="0">
    <oddHeader>&amp;L&amp;F&amp;R&amp;A</oddHeader>
    <oddFooter>&amp;L&amp;D&amp;T&amp;CPage &amp;P of &amp;N</oddFooter>
  </headerFooter>
</worksheet>
</file>

<file path=xl/worksheets/sheet28.xml><?xml version="1.0" encoding="utf-8"?>
<worksheet xmlns="http://schemas.openxmlformats.org/spreadsheetml/2006/main" xmlns:r="http://schemas.openxmlformats.org/officeDocument/2006/relationships">
  <sheetPr codeName="Sheet42">
    <pageSetUpPr fitToPage="1"/>
  </sheetPr>
  <dimension ref="A1:L135"/>
  <sheetViews>
    <sheetView zoomScale="70" zoomScaleNormal="70" workbookViewId="0" topLeftCell="A1">
      <pane xSplit="4" ySplit="4" topLeftCell="E5" activePane="bottomRight" state="frozen"/>
      <selection pane="topLeft" activeCell="G23" sqref="G23"/>
      <selection pane="topRight" activeCell="G23" sqref="G23"/>
      <selection pane="bottomLeft" activeCell="G23" sqref="G23"/>
      <selection pane="bottomRight" activeCell="A1" sqref="A1"/>
    </sheetView>
  </sheetViews>
  <sheetFormatPr defaultColWidth="9.00390625" defaultRowHeight="15"/>
  <cols>
    <col min="1" max="2" width="2.625" style="0" customWidth="1"/>
    <col min="3" max="3" width="37.50390625" style="0" customWidth="1"/>
    <col min="5" max="12" width="11.75390625" style="0" customWidth="1"/>
  </cols>
  <sheetData>
    <row r="1" spans="1:7" ht="29.25">
      <c r="A1" s="64" t="str">
        <f>+'GDN data output sheet'!C4</f>
        <v>Wales &amp; West</v>
      </c>
      <c r="C1" s="13"/>
      <c r="G1" s="30"/>
    </row>
    <row r="2" ht="15">
      <c r="G2" s="30"/>
    </row>
    <row r="3" spans="3:12" ht="15">
      <c r="C3" t="s">
        <v>783</v>
      </c>
      <c r="D3" s="10"/>
      <c r="E3" s="10" t="e">
        <f>EOMONTH(StartDate,E4*12)</f>
        <v>#NAME?</v>
      </c>
      <c r="F3" s="10" t="e">
        <f>EOMONTH(StartDate,F4*12)</f>
        <v>#NAME?</v>
      </c>
      <c r="G3" s="10" t="e">
        <f>EOMONTH(StartDate,G4*12)</f>
        <v>#NAME?</v>
      </c>
      <c r="H3" s="10" t="e">
        <f>EOMONTH(StartDate,H4*12)</f>
        <v>#NAME?</v>
      </c>
      <c r="I3" s="10" t="e">
        <f>EOMONTH(StartDate,I4*12)</f>
        <v>#NAME?</v>
      </c>
      <c r="J3" s="10" t="e">
        <f>EOMONTH(StartDate,J4*12)</f>
        <v>#NAME?</v>
      </c>
      <c r="K3" s="10" t="e">
        <f>EOMONTH(StartDate,K4*12)</f>
        <v>#NAME?</v>
      </c>
      <c r="L3" s="10" t="e">
        <f>EOMONTH(StartDate,L4*12)</f>
        <v>#NAME?</v>
      </c>
    </row>
    <row r="4" spans="1:12" ht="15">
      <c r="A4" s="2"/>
      <c r="B4" s="2"/>
      <c r="C4" s="2" t="s">
        <v>82</v>
      </c>
      <c r="D4" s="1"/>
      <c r="E4" s="1">
        <f>Input!E4</f>
        <v>4</v>
      </c>
      <c r="F4" s="1">
        <f aca="true" t="shared" si="0" ref="F4:L4">E4+1</f>
        <v>5</v>
      </c>
      <c r="G4" s="1">
        <f t="shared" si="0"/>
        <v>6</v>
      </c>
      <c r="H4" s="1">
        <f t="shared" si="0"/>
        <v>7</v>
      </c>
      <c r="I4" s="1">
        <f t="shared" si="0"/>
        <v>8</v>
      </c>
      <c r="J4" s="1">
        <f t="shared" si="0"/>
        <v>9</v>
      </c>
      <c r="K4" s="1">
        <f t="shared" si="0"/>
        <v>10</v>
      </c>
      <c r="L4" s="1">
        <f t="shared" si="0"/>
        <v>11</v>
      </c>
    </row>
    <row r="5" spans="1:12" ht="15">
      <c r="A5" s="4"/>
      <c r="B5" s="4"/>
      <c r="C5" s="4"/>
      <c r="G5" s="7"/>
      <c r="H5" s="24"/>
      <c r="I5" s="24"/>
      <c r="J5" s="24"/>
      <c r="K5" s="24"/>
      <c r="L5" s="4"/>
    </row>
    <row r="6" spans="1:11" ht="15">
      <c r="A6" s="22"/>
      <c r="F6" s="17"/>
      <c r="G6" s="7"/>
      <c r="H6" s="7"/>
      <c r="I6" s="7"/>
      <c r="J6" s="7"/>
      <c r="K6" s="7"/>
    </row>
    <row r="7" spans="1:11" ht="15">
      <c r="A7" s="13"/>
      <c r="G7" s="7"/>
      <c r="H7" s="7"/>
      <c r="I7" s="7"/>
      <c r="J7" s="7"/>
      <c r="K7" s="7"/>
    </row>
    <row r="8" spans="2:11" ht="15">
      <c r="B8" s="6" t="s">
        <v>183</v>
      </c>
      <c r="G8" s="7"/>
      <c r="H8" s="7"/>
      <c r="I8" s="7"/>
      <c r="J8" s="7"/>
      <c r="K8" s="7"/>
    </row>
    <row r="9" spans="7:11" ht="15">
      <c r="G9" s="7"/>
      <c r="H9" s="7"/>
      <c r="I9" s="7"/>
      <c r="J9" s="7"/>
      <c r="K9" s="7"/>
    </row>
    <row r="10" spans="3:12" ht="15">
      <c r="C10" t="s">
        <v>14</v>
      </c>
      <c r="D10" s="17"/>
      <c r="E10" s="17">
        <f>Input!E267</f>
        <v>1064.113827437585</v>
      </c>
      <c r="F10" s="17">
        <f aca="true" t="shared" si="1" ref="F10:L10">+IF(F4=1,F49,IF(F4=6,E15+E135,E15))</f>
        <v>1087.261817394932</v>
      </c>
      <c r="G10" s="29">
        <f>+IF(G4=1,G49,IF(G4=6,F15+F135,F15))</f>
        <v>1151.2733739281489</v>
      </c>
      <c r="H10" s="17">
        <f t="shared" si="1"/>
        <v>1225.5803441604467</v>
      </c>
      <c r="I10" s="17">
        <f t="shared" si="1"/>
        <v>1330.8902434629774</v>
      </c>
      <c r="J10" s="17">
        <f t="shared" si="1"/>
        <v>1433.4788026248125</v>
      </c>
      <c r="K10" s="17">
        <f t="shared" si="1"/>
        <v>1538.809147629843</v>
      </c>
      <c r="L10" s="17">
        <f t="shared" si="1"/>
        <v>1647.052005998198</v>
      </c>
    </row>
    <row r="11" spans="3:12" ht="15">
      <c r="C11" t="s">
        <v>775</v>
      </c>
      <c r="D11" s="17"/>
      <c r="E11" s="17">
        <f>+E50+E57+E75+E84</f>
        <v>25.1365471048248</v>
      </c>
      <c r="F11" s="17">
        <f>+F50+F57+F75+F84</f>
        <v>27.181545434873193</v>
      </c>
      <c r="G11" s="17">
        <f aca="true" t="shared" si="2" ref="G11:L11">+G50+G57+G75+G84</f>
        <v>28.78183434820361</v>
      </c>
      <c r="H11" s="17">
        <f t="shared" si="2"/>
        <v>30.639508604011056</v>
      </c>
      <c r="I11" s="17">
        <f t="shared" si="2"/>
        <v>33.27225608657431</v>
      </c>
      <c r="J11" s="17">
        <f t="shared" si="2"/>
        <v>35.83697006562017</v>
      </c>
      <c r="K11" s="17">
        <f t="shared" si="2"/>
        <v>38.47022869074593</v>
      </c>
      <c r="L11" s="17">
        <f t="shared" si="2"/>
        <v>41.17630014995479</v>
      </c>
    </row>
    <row r="12" spans="3:12" ht="15">
      <c r="C12" t="s">
        <v>786</v>
      </c>
      <c r="D12" s="17"/>
      <c r="E12" s="17">
        <f aca="true" t="shared" si="3" ref="E12:L12">E58+E85</f>
        <v>-38.21981620112</v>
      </c>
      <c r="F12" s="17">
        <f t="shared" si="3"/>
        <v>-39.32741260238897</v>
      </c>
      <c r="G12" s="17">
        <f t="shared" si="3"/>
        <v>-41.50071216301793</v>
      </c>
      <c r="H12" s="17">
        <f t="shared" si="3"/>
        <v>-43.85391892570502</v>
      </c>
      <c r="I12" s="17">
        <f t="shared" si="3"/>
        <v>-46.97903381988757</v>
      </c>
      <c r="J12" s="17">
        <f t="shared" si="3"/>
        <v>-50.08509065123364</v>
      </c>
      <c r="K12" s="17">
        <f t="shared" si="3"/>
        <v>-53.36671445910319</v>
      </c>
      <c r="L12" s="17">
        <f t="shared" si="3"/>
        <v>-56.793284194268956</v>
      </c>
    </row>
    <row r="13" spans="3:12" ht="15">
      <c r="C13" t="s">
        <v>47</v>
      </c>
      <c r="D13" s="17"/>
      <c r="E13" s="17">
        <f aca="true" t="shared" si="4" ref="E13:L13">E77+E78+E86</f>
        <v>36.23125905364205</v>
      </c>
      <c r="F13" s="17">
        <f t="shared" si="4"/>
        <v>39.1177265763896</v>
      </c>
      <c r="G13" s="17">
        <f>G77+G78+G86</f>
        <v>87.02584804711202</v>
      </c>
      <c r="H13" s="17">
        <f t="shared" si="4"/>
        <v>118.52430962422476</v>
      </c>
      <c r="I13" s="17">
        <f t="shared" si="4"/>
        <v>116.29533689514825</v>
      </c>
      <c r="J13" s="17">
        <f t="shared" si="4"/>
        <v>119.57846559064403</v>
      </c>
      <c r="K13" s="17">
        <f t="shared" si="4"/>
        <v>123.13934413671224</v>
      </c>
      <c r="L13" s="17">
        <f t="shared" si="4"/>
        <v>95.01155410697744</v>
      </c>
    </row>
    <row r="14" spans="3:12" ht="15">
      <c r="C14" t="s">
        <v>87</v>
      </c>
      <c r="D14" s="17"/>
      <c r="E14" s="17">
        <f aca="true" t="shared" si="5" ref="E14:L14">E52+E59+E79+E87</f>
        <v>0</v>
      </c>
      <c r="F14" s="17">
        <f t="shared" si="5"/>
        <v>0</v>
      </c>
      <c r="G14" s="17">
        <f t="shared" si="5"/>
        <v>0</v>
      </c>
      <c r="H14" s="17">
        <f t="shared" si="5"/>
        <v>0</v>
      </c>
      <c r="I14" s="17">
        <f t="shared" si="5"/>
        <v>0</v>
      </c>
      <c r="J14" s="17">
        <f t="shared" si="5"/>
        <v>0</v>
      </c>
      <c r="K14" s="17">
        <f t="shared" si="5"/>
        <v>0</v>
      </c>
      <c r="L14" s="17">
        <f t="shared" si="5"/>
        <v>0</v>
      </c>
    </row>
    <row r="15" spans="3:12" ht="15.75" thickBot="1">
      <c r="C15" t="s">
        <v>15</v>
      </c>
      <c r="D15" s="18"/>
      <c r="E15" s="18">
        <f aca="true" t="shared" si="6" ref="E15:L15">+SUM(E10:E14)</f>
        <v>1087.261817394932</v>
      </c>
      <c r="F15" s="18">
        <f t="shared" si="6"/>
        <v>1114.2336768038058</v>
      </c>
      <c r="G15" s="18">
        <f t="shared" si="6"/>
        <v>1225.5803441604467</v>
      </c>
      <c r="H15" s="18">
        <f t="shared" si="6"/>
        <v>1330.8902434629774</v>
      </c>
      <c r="I15" s="18">
        <f t="shared" si="6"/>
        <v>1433.4788026248125</v>
      </c>
      <c r="J15" s="18">
        <f t="shared" si="6"/>
        <v>1538.809147629843</v>
      </c>
      <c r="K15" s="18">
        <f t="shared" si="6"/>
        <v>1647.052005998198</v>
      </c>
      <c r="L15" s="18">
        <f t="shared" si="6"/>
        <v>1726.4465760608612</v>
      </c>
    </row>
    <row r="16" spans="4:12" ht="15.75" thickTop="1">
      <c r="D16" s="17"/>
      <c r="E16" s="17"/>
      <c r="F16" s="17"/>
      <c r="G16" s="17"/>
      <c r="H16" s="17"/>
      <c r="I16" s="17"/>
      <c r="J16" s="17"/>
      <c r="K16" s="17"/>
      <c r="L16" s="17"/>
    </row>
    <row r="17" spans="3:12" ht="15">
      <c r="C17" t="s">
        <v>16</v>
      </c>
      <c r="D17" s="17"/>
      <c r="E17" s="17">
        <f aca="true" t="shared" si="7" ref="E17:L17">(E10+E15)/2</f>
        <v>1075.6878224162585</v>
      </c>
      <c r="F17" s="17">
        <f t="shared" si="7"/>
        <v>1100.747747099369</v>
      </c>
      <c r="G17" s="17">
        <f t="shared" si="7"/>
        <v>1188.4268590442978</v>
      </c>
      <c r="H17" s="17">
        <f t="shared" si="7"/>
        <v>1278.235293811712</v>
      </c>
      <c r="I17" s="17">
        <f t="shared" si="7"/>
        <v>1382.1845230438948</v>
      </c>
      <c r="J17" s="17">
        <f t="shared" si="7"/>
        <v>1486.1439751273278</v>
      </c>
      <c r="K17" s="17">
        <f t="shared" si="7"/>
        <v>1592.9305768140205</v>
      </c>
      <c r="L17" s="17">
        <f t="shared" si="7"/>
        <v>1686.7492910295296</v>
      </c>
    </row>
    <row r="18" spans="4:12" ht="15">
      <c r="D18" s="17"/>
      <c r="E18" s="17"/>
      <c r="F18" s="17"/>
      <c r="G18" s="17"/>
      <c r="H18" s="17"/>
      <c r="I18" s="17"/>
      <c r="J18" s="17"/>
      <c r="K18" s="17"/>
      <c r="L18" s="17"/>
    </row>
    <row r="19" spans="2:12" ht="15">
      <c r="B19" s="6" t="s">
        <v>184</v>
      </c>
      <c r="D19" s="17"/>
      <c r="E19" s="14"/>
      <c r="F19" s="14"/>
      <c r="G19" s="14"/>
      <c r="H19" s="14"/>
      <c r="I19" s="14"/>
      <c r="J19" s="14"/>
      <c r="K19" s="14"/>
      <c r="L19" s="14"/>
    </row>
    <row r="20" spans="3:12" ht="15">
      <c r="C20" t="s">
        <v>14</v>
      </c>
      <c r="D20" s="17"/>
      <c r="E20" s="17">
        <f>Input!E268</f>
        <v>1079.8541906654148</v>
      </c>
      <c r="F20" s="17">
        <f aca="true" t="shared" si="8" ref="F20:L20">+E25</f>
        <v>1115.0665029598829</v>
      </c>
      <c r="G20" s="17">
        <f t="shared" si="8"/>
        <v>1151.2733739281489</v>
      </c>
      <c r="H20" s="17">
        <f t="shared" si="8"/>
        <v>1225.5803441604467</v>
      </c>
      <c r="I20" s="17">
        <f t="shared" si="8"/>
        <v>1330.8902434629774</v>
      </c>
      <c r="J20" s="17">
        <f t="shared" si="8"/>
        <v>1433.4788026248125</v>
      </c>
      <c r="K20" s="17">
        <f t="shared" si="8"/>
        <v>1538.809147629843</v>
      </c>
      <c r="L20" s="17">
        <f t="shared" si="8"/>
        <v>1647.052005998198</v>
      </c>
    </row>
    <row r="21" spans="3:12" ht="15">
      <c r="C21" t="s">
        <v>775</v>
      </c>
      <c r="D21" s="17"/>
      <c r="E21" s="17">
        <f aca="true" t="shared" si="9" ref="E21:L21">+E11+E132</f>
        <v>25.5083667086318</v>
      </c>
      <c r="F21" s="17">
        <f t="shared" si="9"/>
        <v>27.876662573996963</v>
      </c>
      <c r="G21" s="17">
        <f t="shared" si="9"/>
        <v>28.78183434820361</v>
      </c>
      <c r="H21" s="17">
        <f t="shared" si="9"/>
        <v>30.639508604011056</v>
      </c>
      <c r="I21" s="17">
        <f t="shared" si="9"/>
        <v>33.27225608657431</v>
      </c>
      <c r="J21" s="17">
        <f t="shared" si="9"/>
        <v>35.83697006562017</v>
      </c>
      <c r="K21" s="17">
        <f t="shared" si="9"/>
        <v>38.47022869074593</v>
      </c>
      <c r="L21" s="17">
        <f t="shared" si="9"/>
        <v>41.17630014995479</v>
      </c>
    </row>
    <row r="22" spans="3:12" ht="15">
      <c r="C22" t="s">
        <v>786</v>
      </c>
      <c r="D22" s="17"/>
      <c r="E22" s="17">
        <f aca="true" t="shared" si="10" ref="E22:L22">+E12+E134</f>
        <v>-38.70036720855594</v>
      </c>
      <c r="F22" s="17">
        <f t="shared" si="10"/>
        <v>-40.09144104308012</v>
      </c>
      <c r="G22" s="17">
        <f t="shared" si="10"/>
        <v>-41.50071216301793</v>
      </c>
      <c r="H22" s="17">
        <f t="shared" si="10"/>
        <v>-43.85391892570502</v>
      </c>
      <c r="I22" s="17">
        <f t="shared" si="10"/>
        <v>-46.97903381988757</v>
      </c>
      <c r="J22" s="17">
        <f t="shared" si="10"/>
        <v>-50.08509065123364</v>
      </c>
      <c r="K22" s="17">
        <f t="shared" si="10"/>
        <v>-53.36671445910319</v>
      </c>
      <c r="L22" s="17">
        <f t="shared" si="10"/>
        <v>-56.793284194268956</v>
      </c>
    </row>
    <row r="23" spans="3:12" ht="15">
      <c r="C23" t="s">
        <v>47</v>
      </c>
      <c r="D23" s="17"/>
      <c r="E23" s="17">
        <f aca="true" t="shared" si="11" ref="E23:L23">+E13+E133</f>
        <v>48.4043127943922</v>
      </c>
      <c r="F23" s="17">
        <f t="shared" si="11"/>
        <v>48.42164943734907</v>
      </c>
      <c r="G23" s="17">
        <f t="shared" si="11"/>
        <v>87.02584804711202</v>
      </c>
      <c r="H23" s="17">
        <f t="shared" si="11"/>
        <v>118.52430962422476</v>
      </c>
      <c r="I23" s="17">
        <f t="shared" si="11"/>
        <v>116.29533689514825</v>
      </c>
      <c r="J23" s="17">
        <f t="shared" si="11"/>
        <v>119.57846559064403</v>
      </c>
      <c r="K23" s="17">
        <f t="shared" si="11"/>
        <v>123.13934413671224</v>
      </c>
      <c r="L23" s="17">
        <f t="shared" si="11"/>
        <v>95.01155410697744</v>
      </c>
    </row>
    <row r="24" spans="3:12" ht="15">
      <c r="C24" t="s">
        <v>87</v>
      </c>
      <c r="D24" s="17"/>
      <c r="E24" s="17">
        <f aca="true" t="shared" si="12" ref="E24:L24">+E14</f>
        <v>0</v>
      </c>
      <c r="F24" s="17">
        <f t="shared" si="12"/>
        <v>0</v>
      </c>
      <c r="G24" s="17">
        <f t="shared" si="12"/>
        <v>0</v>
      </c>
      <c r="H24" s="17">
        <f t="shared" si="12"/>
        <v>0</v>
      </c>
      <c r="I24" s="17">
        <f t="shared" si="12"/>
        <v>0</v>
      </c>
      <c r="J24" s="17">
        <f t="shared" si="12"/>
        <v>0</v>
      </c>
      <c r="K24" s="17">
        <f t="shared" si="12"/>
        <v>0</v>
      </c>
      <c r="L24" s="17">
        <f t="shared" si="12"/>
        <v>0</v>
      </c>
    </row>
    <row r="25" spans="3:12" ht="15">
      <c r="C25" t="s">
        <v>569</v>
      </c>
      <c r="D25" s="17"/>
      <c r="E25" s="17">
        <f aca="true" t="shared" si="13" ref="E25:L25">+SUM(E20:E24)</f>
        <v>1115.0665029598829</v>
      </c>
      <c r="F25" s="17">
        <f t="shared" si="13"/>
        <v>1151.2733739281489</v>
      </c>
      <c r="G25" s="17">
        <f t="shared" si="13"/>
        <v>1225.5803441604467</v>
      </c>
      <c r="H25" s="17">
        <f t="shared" si="13"/>
        <v>1330.8902434629774</v>
      </c>
      <c r="I25" s="17">
        <f t="shared" si="13"/>
        <v>1433.4788026248125</v>
      </c>
      <c r="J25" s="17">
        <f t="shared" si="13"/>
        <v>1538.809147629843</v>
      </c>
      <c r="K25" s="17">
        <f t="shared" si="13"/>
        <v>1647.052005998198</v>
      </c>
      <c r="L25" s="17">
        <f t="shared" si="13"/>
        <v>1726.4465760608612</v>
      </c>
    </row>
    <row r="26" spans="4:12" ht="15">
      <c r="D26" s="17"/>
      <c r="E26" s="17"/>
      <c r="F26" s="17"/>
      <c r="G26" s="17"/>
      <c r="H26" s="17"/>
      <c r="I26" s="17"/>
      <c r="J26" s="17"/>
      <c r="K26" s="17"/>
      <c r="L26" s="17"/>
    </row>
    <row r="27" spans="3:12" ht="15">
      <c r="C27" t="s">
        <v>16</v>
      </c>
      <c r="D27" s="17"/>
      <c r="E27" s="17">
        <f aca="true" t="shared" si="14" ref="E27:L27">(E20+E25)/2</f>
        <v>1097.4603468126488</v>
      </c>
      <c r="F27" s="17">
        <f t="shared" si="14"/>
        <v>1133.1699384440158</v>
      </c>
      <c r="G27" s="17">
        <f t="shared" si="14"/>
        <v>1188.4268590442978</v>
      </c>
      <c r="H27" s="17">
        <f t="shared" si="14"/>
        <v>1278.235293811712</v>
      </c>
      <c r="I27" s="17">
        <f t="shared" si="14"/>
        <v>1382.1845230438948</v>
      </c>
      <c r="J27" s="17">
        <f t="shared" si="14"/>
        <v>1486.1439751273278</v>
      </c>
      <c r="K27" s="17">
        <f t="shared" si="14"/>
        <v>1592.9305768140205</v>
      </c>
      <c r="L27" s="17">
        <f t="shared" si="14"/>
        <v>1686.7492910295296</v>
      </c>
    </row>
    <row r="28" spans="3:12" ht="15">
      <c r="C28" t="s">
        <v>573</v>
      </c>
      <c r="D28" s="17"/>
      <c r="E28" s="17">
        <f>+E27-E17</f>
        <v>21.77252439639028</v>
      </c>
      <c r="F28" s="17">
        <f>+F27-F17</f>
        <v>32.42219134464676</v>
      </c>
      <c r="G28" s="17"/>
      <c r="H28" s="17"/>
      <c r="I28" s="17"/>
      <c r="J28" s="17"/>
      <c r="K28" s="17"/>
      <c r="L28" s="17"/>
    </row>
    <row r="29" spans="3:12" ht="15">
      <c r="C29" t="s">
        <v>606</v>
      </c>
      <c r="D29" s="17"/>
      <c r="E29" s="17">
        <f>+E22-E12</f>
        <v>-0.4805510074359418</v>
      </c>
      <c r="F29" s="17">
        <f>+F22-F12</f>
        <v>-0.7640284406911491</v>
      </c>
      <c r="G29" s="17"/>
      <c r="H29" s="17"/>
      <c r="I29" s="17"/>
      <c r="J29" s="17"/>
      <c r="K29" s="17"/>
      <c r="L29" s="17"/>
    </row>
    <row r="30" spans="4:12" ht="15">
      <c r="D30" s="17"/>
      <c r="E30" s="17"/>
      <c r="F30" s="17"/>
      <c r="G30" s="17"/>
      <c r="H30" s="17"/>
      <c r="I30" s="17"/>
      <c r="J30" s="17"/>
      <c r="K30" s="17"/>
      <c r="L30" s="17"/>
    </row>
    <row r="31" spans="2:12" ht="15">
      <c r="B31" s="6" t="s">
        <v>185</v>
      </c>
      <c r="D31" s="17"/>
      <c r="E31" s="14"/>
      <c r="F31" s="14"/>
      <c r="G31" s="14"/>
      <c r="H31" s="14"/>
      <c r="I31" s="14"/>
      <c r="J31" s="14"/>
      <c r="K31" s="14"/>
      <c r="L31" s="14"/>
    </row>
    <row r="32" spans="3:12" ht="15">
      <c r="C32" t="s">
        <v>14</v>
      </c>
      <c r="D32" s="17"/>
      <c r="E32" s="17">
        <f>Input!E269</f>
        <v>1128.6130874435476</v>
      </c>
      <c r="F32" s="17">
        <f aca="true" t="shared" si="15" ref="F32:L32">+E37</f>
        <v>1189.670979586213</v>
      </c>
      <c r="G32" s="17">
        <f t="shared" si="15"/>
        <v>1252.1696860766915</v>
      </c>
      <c r="H32" s="17">
        <f t="shared" si="15"/>
        <v>1310.1728925130105</v>
      </c>
      <c r="I32" s="17">
        <f t="shared" si="15"/>
        <v>1394.4098627521</v>
      </c>
      <c r="J32" s="17">
        <f t="shared" si="15"/>
        <v>1485.7715767097823</v>
      </c>
      <c r="K32" s="17">
        <f t="shared" si="15"/>
        <v>1565.1392333276026</v>
      </c>
      <c r="L32" s="17">
        <f t="shared" si="15"/>
        <v>1647.0520059981973</v>
      </c>
    </row>
    <row r="33" spans="3:12" ht="15">
      <c r="C33" t="s">
        <v>775</v>
      </c>
      <c r="D33" s="17"/>
      <c r="E33" s="17">
        <f aca="true" t="shared" si="16" ref="E33:L33">+E21+E105+E112</f>
        <v>26.660151671894788</v>
      </c>
      <c r="F33" s="17">
        <f t="shared" si="16"/>
        <v>29.741774489655224</v>
      </c>
      <c r="G33" s="17">
        <f t="shared" si="16"/>
        <v>31.304242151917187</v>
      </c>
      <c r="H33" s="17">
        <f t="shared" si="16"/>
        <v>32.75432231282517</v>
      </c>
      <c r="I33" s="17">
        <f t="shared" si="16"/>
        <v>34.860246568802395</v>
      </c>
      <c r="J33" s="17">
        <f t="shared" si="16"/>
        <v>37.144289417744424</v>
      </c>
      <c r="K33" s="17">
        <f t="shared" si="16"/>
        <v>39.12848083318993</v>
      </c>
      <c r="L33" s="17">
        <f t="shared" si="16"/>
        <v>41.17630014995479</v>
      </c>
    </row>
    <row r="34" spans="3:12" ht="15">
      <c r="C34" t="s">
        <v>786</v>
      </c>
      <c r="D34" s="17"/>
      <c r="E34" s="17">
        <f aca="true" t="shared" si="17" ref="E34:L34">+E22+E113</f>
        <v>-39.83778458423457</v>
      </c>
      <c r="F34" s="17">
        <f t="shared" si="17"/>
        <v>-41.84567146575357</v>
      </c>
      <c r="G34" s="17">
        <f t="shared" si="17"/>
        <v>-43.89514229914619</v>
      </c>
      <c r="H34" s="17">
        <f t="shared" si="17"/>
        <v>-45.887146440232655</v>
      </c>
      <c r="I34" s="17">
        <f t="shared" si="17"/>
        <v>-48.52100756879912</v>
      </c>
      <c r="J34" s="17">
        <f t="shared" si="17"/>
        <v>-51.37674665672033</v>
      </c>
      <c r="K34" s="17">
        <f t="shared" si="17"/>
        <v>-54.0249666015472</v>
      </c>
      <c r="L34" s="17">
        <f t="shared" si="17"/>
        <v>-56.793284194268956</v>
      </c>
    </row>
    <row r="35" spans="3:12" ht="15">
      <c r="C35" t="s">
        <v>47</v>
      </c>
      <c r="D35" s="17"/>
      <c r="E35" s="17">
        <f aca="true" t="shared" si="18" ref="E35:L35">+E70+E107+E122</f>
        <v>74.23552505500533</v>
      </c>
      <c r="F35" s="17">
        <f t="shared" si="18"/>
        <v>74.60260346657705</v>
      </c>
      <c r="G35" s="17">
        <f t="shared" si="18"/>
        <v>70.59410658354811</v>
      </c>
      <c r="H35" s="17">
        <f t="shared" si="18"/>
        <v>97.36979436649692</v>
      </c>
      <c r="I35" s="17">
        <f t="shared" si="18"/>
        <v>105.02247495767882</v>
      </c>
      <c r="J35" s="17">
        <f t="shared" si="18"/>
        <v>93.60011385679631</v>
      </c>
      <c r="K35" s="17">
        <f t="shared" si="18"/>
        <v>96.80925843895186</v>
      </c>
      <c r="L35" s="17">
        <f t="shared" si="18"/>
        <v>95.01155410697744</v>
      </c>
    </row>
    <row r="36" spans="3:12" ht="15">
      <c r="C36" t="s">
        <v>87</v>
      </c>
      <c r="D36" s="17"/>
      <c r="E36" s="17">
        <f>+E14</f>
        <v>0</v>
      </c>
      <c r="F36" s="17">
        <f>+F14</f>
        <v>0</v>
      </c>
      <c r="G36" s="17">
        <f aca="true" t="shared" si="19" ref="G36:L36">+G24</f>
        <v>0</v>
      </c>
      <c r="H36" s="17">
        <f t="shared" si="19"/>
        <v>0</v>
      </c>
      <c r="I36" s="17">
        <f t="shared" si="19"/>
        <v>0</v>
      </c>
      <c r="J36" s="17">
        <f t="shared" si="19"/>
        <v>0</v>
      </c>
      <c r="K36" s="17">
        <f t="shared" si="19"/>
        <v>0</v>
      </c>
      <c r="L36" s="17">
        <f t="shared" si="19"/>
        <v>0</v>
      </c>
    </row>
    <row r="37" spans="3:12" ht="15">
      <c r="C37" t="s">
        <v>569</v>
      </c>
      <c r="D37" s="17"/>
      <c r="E37" s="17">
        <f aca="true" t="shared" si="20" ref="E37:L37">+SUM(E32:E36)</f>
        <v>1189.670979586213</v>
      </c>
      <c r="F37" s="17">
        <f t="shared" si="20"/>
        <v>1252.1696860766915</v>
      </c>
      <c r="G37" s="17">
        <f t="shared" si="20"/>
        <v>1310.1728925130105</v>
      </c>
      <c r="H37" s="17">
        <f t="shared" si="20"/>
        <v>1394.4098627521</v>
      </c>
      <c r="I37" s="17">
        <f t="shared" si="20"/>
        <v>1485.7715767097823</v>
      </c>
      <c r="J37" s="17">
        <f t="shared" si="20"/>
        <v>1565.1392333276026</v>
      </c>
      <c r="K37" s="17">
        <f t="shared" si="20"/>
        <v>1647.0520059981973</v>
      </c>
      <c r="L37" s="17">
        <f t="shared" si="20"/>
        <v>1726.4465760608605</v>
      </c>
    </row>
    <row r="39" spans="3:12" ht="15">
      <c r="C39" t="s">
        <v>16</v>
      </c>
      <c r="D39" s="17"/>
      <c r="E39" s="17">
        <f aca="true" t="shared" si="21" ref="E39:L39">(E32+E37)/2</f>
        <v>1159.1420335148803</v>
      </c>
      <c r="F39" s="17">
        <f t="shared" si="21"/>
        <v>1220.9203328314522</v>
      </c>
      <c r="G39" s="17">
        <f t="shared" si="21"/>
        <v>1281.171289294851</v>
      </c>
      <c r="H39" s="17">
        <f t="shared" si="21"/>
        <v>1352.2913776325554</v>
      </c>
      <c r="I39" s="17">
        <f t="shared" si="21"/>
        <v>1440.0907197309411</v>
      </c>
      <c r="J39" s="17">
        <f t="shared" si="21"/>
        <v>1525.4554050186925</v>
      </c>
      <c r="K39" s="17">
        <f t="shared" si="21"/>
        <v>1606.0956196629</v>
      </c>
      <c r="L39" s="17">
        <f t="shared" si="21"/>
        <v>1686.7492910295289</v>
      </c>
    </row>
    <row r="40" spans="3:12" ht="15">
      <c r="C40" t="s">
        <v>191</v>
      </c>
      <c r="D40" s="17"/>
      <c r="E40" s="31" t="str">
        <f>+IF(ABS(E37/RPI2005RAVclose-RealRAV!E34)&lt;0.1,"ok!","oh no!")</f>
        <v>ok!</v>
      </c>
      <c r="F40" s="31" t="str">
        <f>+IF(ABS(F37/RPI2005RAVclose-RealRAV!F34)&lt;0.1,"ok!","oh no!")</f>
        <v>ok!</v>
      </c>
      <c r="G40" s="32" t="str">
        <f>+IF(ABS(G37/RPI2005RAVclose-RealRAV!G34)&lt;0.1,"ok!","oh no!")</f>
        <v>ok!</v>
      </c>
      <c r="H40" s="32" t="str">
        <f>+IF(ABS(H37/RPI2005RAVclose-RealRAV!H34)&lt;0.1,"ok!","oh no!")</f>
        <v>ok!</v>
      </c>
      <c r="I40" s="32" t="str">
        <f>+IF(ABS(I37/RPI2005RAVclose-RealRAV!I34)&lt;0.1,"ok!","oh no!")</f>
        <v>ok!</v>
      </c>
      <c r="J40" s="32" t="str">
        <f>+IF(ABS(J37/RPI2005RAVclose-RealRAV!J34)&lt;0.1,"ok!","oh no!")</f>
        <v>ok!</v>
      </c>
      <c r="K40" s="32" t="str">
        <f>+IF(ABS(K37/RPI2005RAVclose-RealRAV!K34)&lt;0.1,"ok!","oh no!")</f>
        <v>ok!</v>
      </c>
      <c r="L40" s="32" t="str">
        <f>+IF(ABS(L37/RPI2005RAVclose-RealRAV!L34)&lt;0.1,"ok!","oh no!")</f>
        <v>ok!</v>
      </c>
    </row>
    <row r="41" spans="5:12" ht="15">
      <c r="E41" s="7"/>
      <c r="F41" s="7"/>
      <c r="G41" s="7"/>
      <c r="H41" s="7"/>
      <c r="I41" s="7"/>
      <c r="J41" s="7"/>
      <c r="K41" s="7"/>
      <c r="L41" s="7"/>
    </row>
    <row r="42" spans="1:12" ht="15">
      <c r="A42" s="5"/>
      <c r="B42" s="5"/>
      <c r="C42" s="5"/>
      <c r="D42" s="5"/>
      <c r="E42" s="33"/>
      <c r="F42" s="33"/>
      <c r="G42" s="203"/>
      <c r="H42" s="33"/>
      <c r="I42" s="33"/>
      <c r="J42" s="33"/>
      <c r="K42" s="33"/>
      <c r="L42" s="33"/>
    </row>
    <row r="43" spans="1:12" ht="15">
      <c r="A43" s="4"/>
      <c r="B43" s="11" t="s">
        <v>497</v>
      </c>
      <c r="C43" s="4"/>
      <c r="D43" s="4"/>
      <c r="E43" s="4"/>
      <c r="F43" s="4"/>
      <c r="G43" s="4"/>
      <c r="H43" s="4"/>
      <c r="I43" s="4"/>
      <c r="J43" s="4"/>
      <c r="K43" s="4"/>
      <c r="L43" s="4"/>
    </row>
    <row r="44" spans="1:12" ht="15">
      <c r="A44" s="4"/>
      <c r="B44" s="5"/>
      <c r="C44" s="5"/>
      <c r="D44" s="5"/>
      <c r="E44" s="4"/>
      <c r="F44" s="4"/>
      <c r="G44" s="4"/>
      <c r="H44" s="4"/>
      <c r="I44" s="4"/>
      <c r="J44" s="4"/>
      <c r="K44" s="4"/>
      <c r="L44" s="4"/>
    </row>
    <row r="45" spans="1:12" ht="15">
      <c r="A45" s="4"/>
      <c r="B45" s="4"/>
      <c r="C45" s="4" t="s">
        <v>60</v>
      </c>
      <c r="D45" s="4">
        <f>+RealRAV!D42</f>
        <v>28</v>
      </c>
      <c r="E45" s="15"/>
      <c r="F45" s="15"/>
      <c r="G45" s="15"/>
      <c r="H45" s="15"/>
      <c r="I45" s="15"/>
      <c r="J45" s="15"/>
      <c r="K45" s="15"/>
      <c r="L45" s="15"/>
    </row>
    <row r="46" spans="1:12" ht="15">
      <c r="A46" s="4"/>
      <c r="B46" s="4"/>
      <c r="C46" s="4"/>
      <c r="D46" s="4"/>
      <c r="E46" s="27"/>
      <c r="F46" s="27"/>
      <c r="G46" s="27"/>
      <c r="H46" s="27"/>
      <c r="I46" s="27"/>
      <c r="J46" s="27"/>
      <c r="K46" s="27"/>
      <c r="L46" s="27"/>
    </row>
    <row r="47" ht="15">
      <c r="B47" s="6" t="s">
        <v>52</v>
      </c>
    </row>
    <row r="48" spans="2:12" ht="15">
      <c r="B48" s="9" t="s">
        <v>9</v>
      </c>
      <c r="E48" s="14"/>
      <c r="F48" s="14"/>
      <c r="G48" s="8"/>
      <c r="H48" s="14"/>
      <c r="I48" s="14"/>
      <c r="J48" s="14"/>
      <c r="K48" s="14"/>
      <c r="L48" s="14"/>
    </row>
    <row r="49" spans="3:12" ht="15">
      <c r="C49" t="s">
        <v>53</v>
      </c>
      <c r="D49" s="17"/>
      <c r="E49" s="17">
        <f>Input!E270</f>
        <v>1023.9810778819922</v>
      </c>
      <c r="F49" s="201">
        <f>+IF(F4=6,E53+Input!$D$245*RPI2005RAV,E53)</f>
        <v>1048.1696072807792</v>
      </c>
      <c r="G49" s="29">
        <f>+IF(G4=6,F53+Input!$D$245*RPI2005RAV,F53)</f>
        <v>1083.6489295062527</v>
      </c>
      <c r="H49" s="201">
        <f>+IF(H4=6,G53+Input!$D$245*RPI2005RAV,G53)</f>
        <v>1110.740152743909</v>
      </c>
      <c r="I49" s="201">
        <f>+IF(I4=6,H53+Input!$D$245*RPI2005RAV,H53)</f>
        <v>1138.5086565625065</v>
      </c>
      <c r="J49" s="201">
        <f>+IF(J4=6,I53+Input!$D$245*RPI2005RAV,I53)</f>
        <v>1166.971372976569</v>
      </c>
      <c r="K49" s="201">
        <f>+IF(K4=6,J53+Input!$D$245*RPI2005RAV,J53)</f>
        <v>1196.1456573009832</v>
      </c>
      <c r="L49" s="201">
        <f>+IF(L4=6,K53+Input!$D$245*RPI2005RAV,K53)</f>
        <v>1226.0492987335076</v>
      </c>
    </row>
    <row r="50" spans="3:12" ht="15">
      <c r="C50" t="s">
        <v>775</v>
      </c>
      <c r="D50" s="17"/>
      <c r="E50" s="21">
        <f aca="true" t="shared" si="22" ref="E50:L50">+E49*(RPIRAVindex-1)</f>
        <v>24.188529398787175</v>
      </c>
      <c r="F50" s="21">
        <f t="shared" si="22"/>
        <v>26.204240182019387</v>
      </c>
      <c r="G50" s="21">
        <f t="shared" si="22"/>
        <v>27.09122323765622</v>
      </c>
      <c r="H50" s="21">
        <f t="shared" si="22"/>
        <v>27.768503818597626</v>
      </c>
      <c r="I50" s="21">
        <f t="shared" si="22"/>
        <v>28.462716414062562</v>
      </c>
      <c r="J50" s="21">
        <f t="shared" si="22"/>
        <v>29.17428432441412</v>
      </c>
      <c r="K50" s="21">
        <f t="shared" si="22"/>
        <v>29.903641432524473</v>
      </c>
      <c r="L50" s="21">
        <f t="shared" si="22"/>
        <v>30.651232468337582</v>
      </c>
    </row>
    <row r="51" spans="3:12" ht="15">
      <c r="C51" t="s">
        <v>782</v>
      </c>
      <c r="D51" s="17"/>
      <c r="E51" s="17">
        <f aca="true" t="shared" si="23" ref="E51:L51">+E49+E50</f>
        <v>1048.1696072807792</v>
      </c>
      <c r="F51" s="17">
        <f t="shared" si="23"/>
        <v>1074.3738474627987</v>
      </c>
      <c r="G51" s="17">
        <f t="shared" si="23"/>
        <v>1110.740152743909</v>
      </c>
      <c r="H51" s="17">
        <f t="shared" si="23"/>
        <v>1138.5086565625065</v>
      </c>
      <c r="I51" s="17">
        <f t="shared" si="23"/>
        <v>1166.971372976569</v>
      </c>
      <c r="J51" s="17">
        <f t="shared" si="23"/>
        <v>1196.1456573009832</v>
      </c>
      <c r="K51" s="17">
        <f t="shared" si="23"/>
        <v>1226.0492987335076</v>
      </c>
      <c r="L51" s="17">
        <f t="shared" si="23"/>
        <v>1256.7005312018453</v>
      </c>
    </row>
    <row r="52" spans="3:12" ht="15">
      <c r="C52" s="3" t="s">
        <v>85</v>
      </c>
      <c r="D52" s="17"/>
      <c r="E52" s="17">
        <f>+Input!E126*RPI2005RAVclose</f>
        <v>0</v>
      </c>
      <c r="F52" s="17">
        <f>+Input!F126*RPI2005RAVclose</f>
        <v>0</v>
      </c>
      <c r="G52" s="17">
        <f>+Input!G126*RPI2005RAVclose</f>
        <v>0</v>
      </c>
      <c r="H52" s="17">
        <f>+Input!H126*RPI2005RAVclose</f>
        <v>0</v>
      </c>
      <c r="I52" s="17">
        <f>+Input!I126*RPI2005RAVclose</f>
        <v>0</v>
      </c>
      <c r="J52" s="17">
        <f>+Input!J126*RPI2005RAVclose</f>
        <v>0</v>
      </c>
      <c r="K52" s="17">
        <f>+Input!K126*RPI2005RAVclose</f>
        <v>0</v>
      </c>
      <c r="L52" s="17">
        <f>+Input!L126*RPI2005RAVclose</f>
        <v>0</v>
      </c>
    </row>
    <row r="53" spans="3:12" ht="15">
      <c r="C53" t="s">
        <v>48</v>
      </c>
      <c r="D53" s="19"/>
      <c r="E53" s="19">
        <f aca="true" t="shared" si="24" ref="E53:L53">+E51+E52</f>
        <v>1048.1696072807792</v>
      </c>
      <c r="F53" s="19">
        <f t="shared" si="24"/>
        <v>1074.3738474627987</v>
      </c>
      <c r="G53" s="19">
        <f t="shared" si="24"/>
        <v>1110.740152743909</v>
      </c>
      <c r="H53" s="19">
        <f t="shared" si="24"/>
        <v>1138.5086565625065</v>
      </c>
      <c r="I53" s="19">
        <f t="shared" si="24"/>
        <v>1166.971372976569</v>
      </c>
      <c r="J53" s="19">
        <f t="shared" si="24"/>
        <v>1196.1456573009832</v>
      </c>
      <c r="K53" s="19">
        <f t="shared" si="24"/>
        <v>1226.0492987335076</v>
      </c>
      <c r="L53" s="19">
        <f t="shared" si="24"/>
        <v>1256.7005312018453</v>
      </c>
    </row>
    <row r="55" spans="2:12" ht="15">
      <c r="B55" s="9" t="s">
        <v>10</v>
      </c>
      <c r="E55" s="14"/>
      <c r="F55" s="14"/>
      <c r="G55" s="14"/>
      <c r="H55" s="14"/>
      <c r="I55" s="14"/>
      <c r="J55" s="14"/>
      <c r="K55" s="14"/>
      <c r="L55" s="14"/>
    </row>
    <row r="56" spans="3:12" ht="15">
      <c r="C56" t="s">
        <v>53</v>
      </c>
      <c r="D56" s="17"/>
      <c r="E56" s="17">
        <f>Input!E271</f>
        <v>-105.8627054201308</v>
      </c>
      <c r="F56" s="201">
        <f>+IF(F4=6,E60-Input!$D$245*RPI2005RAV*Input!$D$247,E60)</f>
        <v>-143.17103658346485</v>
      </c>
      <c r="G56" s="29">
        <f>+IF(G4=6,F60-Input!$D$245*RPI2005RAV*Input!$D$247,F60)</f>
        <v>-183.3240670217345</v>
      </c>
      <c r="H56" s="201">
        <f>+IF(H4=6,G60-Input!$D$245*RPI2005RAV*Input!$D$247,G60)</f>
        <v>-223.40074500676363</v>
      </c>
      <c r="I56" s="201">
        <f>+IF(I4=6,H60-Input!$D$245*RPI2005RAV*Input!$D$247,H60)</f>
        <v>-264.6533280605827</v>
      </c>
      <c r="J56" s="201">
        <f>+IF(J4=6,I60-Input!$D$245*RPI2005RAV*Input!$D$247,I60)</f>
        <v>-307.09772973067606</v>
      </c>
      <c r="K56" s="201">
        <f>+IF(K4=6,J60-Input!$D$245*RPI2005RAV*Input!$D$247,J60)</f>
        <v>-350.74947845667924</v>
      </c>
      <c r="L56" s="201">
        <f>+IF(L4=6,K60-Input!$D$245*RPI2005RAV*Input!$D$247,K60)</f>
        <v>-395.623677222905</v>
      </c>
    </row>
    <row r="57" spans="3:12" ht="15">
      <c r="C57" t="s">
        <v>779</v>
      </c>
      <c r="D57" s="17"/>
      <c r="E57" s="17">
        <f aca="true" t="shared" si="25" ref="E57:L57">+E56*(RPIRAVindex-1)</f>
        <v>-2.5006938288219827</v>
      </c>
      <c r="F57" s="17">
        <f t="shared" si="25"/>
        <v>-3.5792759145866087</v>
      </c>
      <c r="G57" s="17">
        <f t="shared" si="25"/>
        <v>-4.583101675543346</v>
      </c>
      <c r="H57" s="17">
        <f t="shared" si="25"/>
        <v>-5.585018625169071</v>
      </c>
      <c r="I57" s="17">
        <f t="shared" si="25"/>
        <v>-6.616333201514544</v>
      </c>
      <c r="J57" s="17">
        <f t="shared" si="25"/>
        <v>-7.677443243266874</v>
      </c>
      <c r="K57" s="17">
        <f t="shared" si="25"/>
        <v>-8.76873696141695</v>
      </c>
      <c r="L57" s="17">
        <f t="shared" si="25"/>
        <v>-9.890591930572588</v>
      </c>
    </row>
    <row r="58" spans="3:12" ht="15">
      <c r="C58" t="s">
        <v>13</v>
      </c>
      <c r="D58" s="17"/>
      <c r="E58" s="17">
        <f aca="true" t="shared" si="26" ref="E58:L58">-E51*MAX(($D$45*2-E4+1),0)/($D$45*2)/($D$45*2+1)*2</f>
        <v>-34.807637334512094</v>
      </c>
      <c r="F58" s="17">
        <f t="shared" si="26"/>
        <v>-35.00466169678291</v>
      </c>
      <c r="G58" s="17">
        <f t="shared" si="26"/>
        <v>-35.49357630948581</v>
      </c>
      <c r="H58" s="17">
        <f t="shared" si="26"/>
        <v>-35.66756442864995</v>
      </c>
      <c r="I58" s="17">
        <f t="shared" si="26"/>
        <v>-35.82806846857887</v>
      </c>
      <c r="J58" s="17">
        <f t="shared" si="26"/>
        <v>-35.974305482736334</v>
      </c>
      <c r="K58" s="17">
        <f t="shared" si="26"/>
        <v>-36.105461804808805</v>
      </c>
      <c r="L58" s="17">
        <f t="shared" si="26"/>
        <v>-36.22069200205819</v>
      </c>
    </row>
    <row r="59" spans="3:12" ht="15">
      <c r="C59" s="3" t="s">
        <v>86</v>
      </c>
      <c r="D59" s="17"/>
      <c r="E59" s="17">
        <f aca="true" t="shared" si="27" ref="E59:L59">+E56/E49*E52</f>
        <v>0</v>
      </c>
      <c r="F59" s="17">
        <f t="shared" si="27"/>
        <v>0</v>
      </c>
      <c r="G59" s="17">
        <f t="shared" si="27"/>
        <v>0</v>
      </c>
      <c r="H59" s="17">
        <f t="shared" si="27"/>
        <v>0</v>
      </c>
      <c r="I59" s="17">
        <f t="shared" si="27"/>
        <v>0</v>
      </c>
      <c r="J59" s="17">
        <f t="shared" si="27"/>
        <v>0</v>
      </c>
      <c r="K59" s="17">
        <f t="shared" si="27"/>
        <v>0</v>
      </c>
      <c r="L59" s="17">
        <f t="shared" si="27"/>
        <v>0</v>
      </c>
    </row>
    <row r="60" spans="3:12" ht="15">
      <c r="C60" t="s">
        <v>15</v>
      </c>
      <c r="D60" s="19"/>
      <c r="E60" s="19">
        <f aca="true" t="shared" si="28" ref="E60:L60">+SUM(E56:E59)</f>
        <v>-143.17103658346485</v>
      </c>
      <c r="F60" s="19">
        <f t="shared" si="28"/>
        <v>-181.75497419483438</v>
      </c>
      <c r="G60" s="19">
        <f t="shared" si="28"/>
        <v>-223.40074500676363</v>
      </c>
      <c r="H60" s="19">
        <f t="shared" si="28"/>
        <v>-264.6533280605827</v>
      </c>
      <c r="I60" s="19">
        <f t="shared" si="28"/>
        <v>-307.09772973067606</v>
      </c>
      <c r="J60" s="19">
        <f t="shared" si="28"/>
        <v>-350.74947845667924</v>
      </c>
      <c r="K60" s="19">
        <f t="shared" si="28"/>
        <v>-395.623677222905</v>
      </c>
      <c r="L60" s="19">
        <f t="shared" si="28"/>
        <v>-441.73496115553576</v>
      </c>
    </row>
    <row r="61" spans="4:12" ht="15">
      <c r="D61" s="20"/>
      <c r="E61" s="20"/>
      <c r="F61" s="20"/>
      <c r="G61" s="20"/>
      <c r="H61" s="20"/>
      <c r="I61" s="20"/>
      <c r="J61" s="20"/>
      <c r="K61" s="20"/>
      <c r="L61" s="20"/>
    </row>
    <row r="62" spans="3:12" ht="15.75" thickBot="1">
      <c r="C62" t="s">
        <v>56</v>
      </c>
      <c r="D62" s="18"/>
      <c r="E62" s="18">
        <f aca="true" t="shared" si="29" ref="E62:L62">+E53+E60</f>
        <v>904.9985706973143</v>
      </c>
      <c r="F62" s="18">
        <f t="shared" si="29"/>
        <v>892.6188732679643</v>
      </c>
      <c r="G62" s="18">
        <f t="shared" si="29"/>
        <v>887.3394077371454</v>
      </c>
      <c r="H62" s="18">
        <f t="shared" si="29"/>
        <v>873.8553285019239</v>
      </c>
      <c r="I62" s="18">
        <f t="shared" si="29"/>
        <v>859.8736432458929</v>
      </c>
      <c r="J62" s="18">
        <f t="shared" si="29"/>
        <v>845.3961788443039</v>
      </c>
      <c r="K62" s="18">
        <f t="shared" si="29"/>
        <v>830.4256215106027</v>
      </c>
      <c r="L62" s="18">
        <f t="shared" si="29"/>
        <v>814.9655700463095</v>
      </c>
    </row>
    <row r="63" spans="1:12" ht="15.75" thickTop="1">
      <c r="A63" s="4"/>
      <c r="B63" s="4"/>
      <c r="C63" s="4"/>
      <c r="D63" s="4"/>
      <c r="E63" s="4"/>
      <c r="F63" s="4"/>
      <c r="G63" s="4"/>
      <c r="H63" s="4"/>
      <c r="I63" s="4"/>
      <c r="J63" s="4"/>
      <c r="K63" s="4"/>
      <c r="L63" s="4"/>
    </row>
    <row r="64" spans="1:12" ht="15">
      <c r="A64" s="5"/>
      <c r="B64" s="5"/>
      <c r="C64" s="5"/>
      <c r="D64" s="5"/>
      <c r="E64" s="5"/>
      <c r="F64" s="5"/>
      <c r="G64" s="5"/>
      <c r="H64" s="5"/>
      <c r="I64" s="5"/>
      <c r="J64" s="5"/>
      <c r="K64" s="5"/>
      <c r="L64" s="5"/>
    </row>
    <row r="65" spans="1:12" ht="15">
      <c r="A65" s="4"/>
      <c r="B65" s="11" t="s">
        <v>531</v>
      </c>
      <c r="C65" s="4"/>
      <c r="D65" s="4"/>
      <c r="E65" s="4"/>
      <c r="F65" s="4"/>
      <c r="G65" s="4"/>
      <c r="H65" s="4"/>
      <c r="I65" s="4"/>
      <c r="J65" s="4"/>
      <c r="K65" s="4"/>
      <c r="L65" s="4"/>
    </row>
    <row r="66" spans="2:4" ht="15">
      <c r="B66" s="5"/>
      <c r="C66" s="5"/>
      <c r="D66" s="5"/>
    </row>
    <row r="67" spans="2:12" ht="15">
      <c r="B67" s="4"/>
      <c r="C67" s="4" t="s">
        <v>55</v>
      </c>
      <c r="D67" s="4">
        <f>+RealRAV!D61</f>
        <v>45</v>
      </c>
      <c r="E67" s="16"/>
      <c r="F67" s="16"/>
      <c r="G67" s="16"/>
      <c r="H67" s="16"/>
      <c r="I67" s="16"/>
      <c r="J67" s="16"/>
      <c r="K67" s="16"/>
      <c r="L67" s="16"/>
    </row>
    <row r="68" spans="2:4" ht="15">
      <c r="B68" s="4"/>
      <c r="C68" s="4"/>
      <c r="D68" s="4"/>
    </row>
    <row r="69" ht="15">
      <c r="B69" s="6" t="s">
        <v>54</v>
      </c>
    </row>
    <row r="70" spans="3:12" ht="15">
      <c r="C70" s="12" t="s">
        <v>581</v>
      </c>
      <c r="D70" s="20"/>
      <c r="E70" s="20">
        <f>RealRAV!E64*RPI2005RAVclose</f>
        <v>36.23125905364205</v>
      </c>
      <c r="F70" s="20">
        <f>RealRAV!F64*RPI2005RAVclose</f>
        <v>39.1177265763896</v>
      </c>
      <c r="G70" s="20">
        <f>RealRAV!G64*RPI2005RAVclose</f>
        <v>70.59410658354811</v>
      </c>
      <c r="H70" s="20">
        <f>RealRAV!H64*RPI2005RAVclose</f>
        <v>97.36979436649692</v>
      </c>
      <c r="I70" s="20">
        <f>RealRAV!I64*RPI2005RAVclose</f>
        <v>105.02247495767882</v>
      </c>
      <c r="J70" s="20">
        <f>RealRAV!J64*RPI2005RAVclose</f>
        <v>93.60011385679631</v>
      </c>
      <c r="K70" s="20">
        <f>RealRAV!K64*RPI2005RAVclose</f>
        <v>96.80925843895186</v>
      </c>
      <c r="L70" s="20">
        <f>RealRAV!L64*RPI2005RAVclose</f>
        <v>95.01155410697744</v>
      </c>
    </row>
    <row r="71" spans="4:12" ht="15">
      <c r="D71" s="17"/>
      <c r="E71" s="17"/>
      <c r="F71" s="17"/>
      <c r="G71" s="17">
        <f>+RealRAV!G70*RPI2005RAVclose</f>
        <v>18.485709146509386</v>
      </c>
      <c r="H71" s="17"/>
      <c r="I71" s="17"/>
      <c r="J71" s="17"/>
      <c r="K71" s="17"/>
      <c r="L71" s="17"/>
    </row>
    <row r="72" spans="2:12" ht="15">
      <c r="B72" s="6" t="s">
        <v>498</v>
      </c>
      <c r="D72" s="17"/>
      <c r="E72" s="17"/>
      <c r="F72" s="17"/>
      <c r="G72" s="17"/>
      <c r="H72" s="17"/>
      <c r="I72" s="17"/>
      <c r="J72" s="17"/>
      <c r="K72" s="17"/>
      <c r="L72" s="17"/>
    </row>
    <row r="73" spans="2:12" ht="15">
      <c r="B73" s="9" t="s">
        <v>9</v>
      </c>
      <c r="D73" s="17"/>
      <c r="E73" s="14"/>
      <c r="F73" s="14"/>
      <c r="G73" s="14"/>
      <c r="H73" s="14"/>
      <c r="I73" s="14"/>
      <c r="J73" s="14"/>
      <c r="K73" s="14"/>
      <c r="L73" s="14"/>
    </row>
    <row r="74" spans="3:12" ht="15">
      <c r="C74" t="s">
        <v>53</v>
      </c>
      <c r="D74" s="17"/>
      <c r="E74" s="17">
        <f>Input!E272</f>
        <v>150.00463248203198</v>
      </c>
      <c r="F74" s="201">
        <f>+IF(F4=6,E80+(RealRAV!E109-Input!$D$245)*RPI2005RAV,E80)</f>
        <v>189.7793080509976</v>
      </c>
      <c r="G74" s="29">
        <f>+IF(G4=6,F80+(RealRAV!F109-Input!$D$245)*RPI2005RAV,F80)</f>
        <v>263.72791552092224</v>
      </c>
      <c r="H74" s="201">
        <f>+IF(H4=6,G80+(RealRAV!G109-Input!$D$245)*RPI2005RAV,G80)</f>
        <v>359.4009291390028</v>
      </c>
      <c r="I74" s="201">
        <f>+IF(I4=6,H80+(RealRAV!H109-Input!$D$245)*RPI2005RAV,H80)</f>
        <v>489.5545763989186</v>
      </c>
      <c r="J74" s="201">
        <f>+IF(J4=6,I80+(RealRAV!I109-Input!$D$245)*RPI2005RAV,I80)</f>
        <v>619.4978854462234</v>
      </c>
      <c r="K74" s="201">
        <f>+IF(K4=6,J80+(RealRAV!J109-Input!$D$245)*RPI2005RAV,J80)</f>
        <v>757.8110921397539</v>
      </c>
      <c r="L74" s="201">
        <f>+IF(L4=6,K80+(RealRAV!K109-Input!$D$245)*RPI2005RAV,K80)</f>
        <v>903.1869742921799</v>
      </c>
    </row>
    <row r="75" spans="3:12" ht="15">
      <c r="C75" t="s">
        <v>775</v>
      </c>
      <c r="D75" s="17"/>
      <c r="E75" s="21">
        <f aca="true" t="shared" si="30" ref="E75:L75">+E74*(RPIRAVindex-1)</f>
        <v>3.543416515323584</v>
      </c>
      <c r="F75" s="21">
        <f t="shared" si="30"/>
        <v>4.744482701274923</v>
      </c>
      <c r="G75" s="21">
        <f t="shared" si="30"/>
        <v>6.593197888023033</v>
      </c>
      <c r="H75" s="21">
        <f t="shared" si="30"/>
        <v>8.985023228475038</v>
      </c>
      <c r="I75" s="21">
        <f t="shared" si="30"/>
        <v>12.238864409972921</v>
      </c>
      <c r="J75" s="21">
        <f t="shared" si="30"/>
        <v>15.48744713615553</v>
      </c>
      <c r="K75" s="21">
        <f t="shared" si="30"/>
        <v>18.94527730349378</v>
      </c>
      <c r="L75" s="21">
        <f t="shared" si="30"/>
        <v>22.579674357304416</v>
      </c>
    </row>
    <row r="76" spans="3:12" ht="15">
      <c r="C76" t="s">
        <v>782</v>
      </c>
      <c r="D76" s="17"/>
      <c r="E76" s="17">
        <f aca="true" t="shared" si="31" ref="E76:L76">+E74+E75</f>
        <v>153.54804899735555</v>
      </c>
      <c r="F76" s="17">
        <f t="shared" si="31"/>
        <v>194.52379075227253</v>
      </c>
      <c r="G76" s="17">
        <f t="shared" si="31"/>
        <v>270.3211134089453</v>
      </c>
      <c r="H76" s="17">
        <f t="shared" si="31"/>
        <v>368.38595236747784</v>
      </c>
      <c r="I76" s="17">
        <f t="shared" si="31"/>
        <v>501.7934408088915</v>
      </c>
      <c r="J76" s="17">
        <f t="shared" si="31"/>
        <v>634.985332582379</v>
      </c>
      <c r="K76" s="17">
        <f t="shared" si="31"/>
        <v>776.7563694432476</v>
      </c>
      <c r="L76" s="17">
        <f t="shared" si="31"/>
        <v>925.7666486494843</v>
      </c>
    </row>
    <row r="77" spans="3:12" ht="15">
      <c r="C77" t="s">
        <v>47</v>
      </c>
      <c r="D77" s="17"/>
      <c r="E77" s="17">
        <f aca="true" t="shared" si="32" ref="E77:L77">E70</f>
        <v>36.23125905364205</v>
      </c>
      <c r="F77" s="17">
        <f t="shared" si="32"/>
        <v>39.1177265763896</v>
      </c>
      <c r="G77" s="17">
        <f t="shared" si="32"/>
        <v>70.59410658354811</v>
      </c>
      <c r="H77" s="17">
        <f t="shared" si="32"/>
        <v>97.36979436649692</v>
      </c>
      <c r="I77" s="17">
        <f t="shared" si="32"/>
        <v>105.02247495767882</v>
      </c>
      <c r="J77" s="17">
        <f t="shared" si="32"/>
        <v>93.60011385679631</v>
      </c>
      <c r="K77" s="17">
        <f t="shared" si="32"/>
        <v>96.80925843895186</v>
      </c>
      <c r="L77" s="17">
        <f t="shared" si="32"/>
        <v>95.01155410697744</v>
      </c>
    </row>
    <row r="78" spans="3:12" ht="15">
      <c r="C78" t="s">
        <v>182</v>
      </c>
      <c r="D78" s="17"/>
      <c r="E78" s="17">
        <f aca="true" t="shared" si="33" ref="E78:L78">+-E108</f>
        <v>0</v>
      </c>
      <c r="F78" s="17">
        <f t="shared" si="33"/>
        <v>0</v>
      </c>
      <c r="G78" s="17">
        <f t="shared" si="33"/>
        <v>18.48570914650939</v>
      </c>
      <c r="H78" s="17">
        <f t="shared" si="33"/>
        <v>23.79882966494381</v>
      </c>
      <c r="I78" s="17">
        <f t="shared" si="33"/>
        <v>12.681969679653104</v>
      </c>
      <c r="J78" s="17">
        <f t="shared" si="33"/>
        <v>29.22564570057869</v>
      </c>
      <c r="K78" s="17">
        <f t="shared" si="33"/>
        <v>29.62134640998043</v>
      </c>
      <c r="L78" s="17">
        <f t="shared" si="33"/>
        <v>0</v>
      </c>
    </row>
    <row r="79" spans="3:12" ht="15">
      <c r="C79" t="s">
        <v>85</v>
      </c>
      <c r="D79" s="17"/>
      <c r="E79" s="17">
        <f>+Input!E127*RPI2005RAVclose</f>
        <v>0</v>
      </c>
      <c r="F79" s="17">
        <f>+Input!F127*RPI2005RAVclose</f>
        <v>0</v>
      </c>
      <c r="G79" s="17">
        <f>+Input!G127*RPI2005RAVclose</f>
        <v>0</v>
      </c>
      <c r="H79" s="17">
        <f>+Input!H127*RPI2005RAVclose</f>
        <v>0</v>
      </c>
      <c r="I79" s="17">
        <f>+Input!I127*RPI2005RAVclose</f>
        <v>0</v>
      </c>
      <c r="J79" s="17">
        <f>+Input!J127*RPI2005RAVclose</f>
        <v>0</v>
      </c>
      <c r="K79" s="17">
        <f>+Input!K127*RPI2005RAVclose</f>
        <v>0</v>
      </c>
      <c r="L79" s="17">
        <f>+Input!L127*RPI2005RAVclose</f>
        <v>0</v>
      </c>
    </row>
    <row r="80" spans="3:12" ht="15">
      <c r="C80" t="s">
        <v>48</v>
      </c>
      <c r="D80" s="19"/>
      <c r="E80" s="19">
        <f aca="true" t="shared" si="34" ref="E80:L80">+SUM(E76:E79)</f>
        <v>189.7793080509976</v>
      </c>
      <c r="F80" s="19">
        <f t="shared" si="34"/>
        <v>233.64151732866213</v>
      </c>
      <c r="G80" s="19">
        <f t="shared" si="34"/>
        <v>359.4009291390028</v>
      </c>
      <c r="H80" s="19">
        <f t="shared" si="34"/>
        <v>489.5545763989186</v>
      </c>
      <c r="I80" s="19">
        <f t="shared" si="34"/>
        <v>619.4978854462234</v>
      </c>
      <c r="J80" s="19">
        <f t="shared" si="34"/>
        <v>757.8110921397539</v>
      </c>
      <c r="K80" s="19">
        <f t="shared" si="34"/>
        <v>903.1869742921799</v>
      </c>
      <c r="L80" s="19">
        <f t="shared" si="34"/>
        <v>1020.7782027564617</v>
      </c>
    </row>
    <row r="81" spans="4:12" ht="15">
      <c r="D81" s="17"/>
      <c r="E81" s="17"/>
      <c r="F81" s="17"/>
      <c r="G81" s="17"/>
      <c r="H81" s="17"/>
      <c r="I81" s="17"/>
      <c r="J81" s="17"/>
      <c r="K81" s="17"/>
      <c r="L81" s="17"/>
    </row>
    <row r="82" spans="2:12" ht="15">
      <c r="B82" s="9" t="s">
        <v>10</v>
      </c>
      <c r="D82" s="17"/>
      <c r="E82" s="14"/>
      <c r="F82" s="14"/>
      <c r="G82" s="7"/>
      <c r="H82" s="14"/>
      <c r="I82" s="14"/>
      <c r="J82" s="14"/>
      <c r="K82" s="14"/>
      <c r="L82" s="14"/>
    </row>
    <row r="83" spans="3:12" ht="15">
      <c r="C83" t="s">
        <v>53</v>
      </c>
      <c r="D83" s="17"/>
      <c r="E83" s="17">
        <f>Input!E273</f>
        <v>-4.009177506308367</v>
      </c>
      <c r="F83" s="17">
        <f aca="true" t="shared" si="35" ref="F83:L83">+IF(F4=6,E88+E128-(F56-E60),E88)</f>
        <v>-7.516061353380245</v>
      </c>
      <c r="G83" s="29">
        <f t="shared" si="35"/>
        <v>-12.779404077291813</v>
      </c>
      <c r="H83" s="17">
        <f t="shared" si="35"/>
        <v>-21.159992715701712</v>
      </c>
      <c r="I83" s="17">
        <f t="shared" si="35"/>
        <v>-32.519661437865295</v>
      </c>
      <c r="J83" s="17">
        <f t="shared" si="35"/>
        <v>-45.8927260673043</v>
      </c>
      <c r="K83" s="17">
        <f t="shared" si="35"/>
        <v>-64.39812335421519</v>
      </c>
      <c r="L83" s="17">
        <f t="shared" si="35"/>
        <v>-86.560589804585</v>
      </c>
    </row>
    <row r="84" spans="3:12" ht="15">
      <c r="C84" t="s">
        <v>776</v>
      </c>
      <c r="E84" s="17">
        <f aca="true" t="shared" si="36" ref="E84:L84">+E83*(RPIRAVindex-1)</f>
        <v>-0.094704980463977</v>
      </c>
      <c r="F84" s="17">
        <f t="shared" si="36"/>
        <v>-0.18790153383450545</v>
      </c>
      <c r="G84" s="17">
        <f t="shared" si="36"/>
        <v>-0.3194851019322942</v>
      </c>
      <c r="H84" s="17">
        <f t="shared" si="36"/>
        <v>-0.5289998178925409</v>
      </c>
      <c r="I84" s="17">
        <f t="shared" si="36"/>
        <v>-0.8129915359466295</v>
      </c>
      <c r="J84" s="17">
        <f t="shared" si="36"/>
        <v>-1.1473181516826034</v>
      </c>
      <c r="K84" s="17">
        <f t="shared" si="36"/>
        <v>-1.609953083855374</v>
      </c>
      <c r="L84" s="17">
        <f t="shared" si="36"/>
        <v>-2.1640147451146174</v>
      </c>
    </row>
    <row r="85" spans="3:12" ht="15">
      <c r="C85" t="s">
        <v>13</v>
      </c>
      <c r="D85" s="17"/>
      <c r="E85" s="17">
        <f aca="true" t="shared" si="37" ref="E85:L85">-E76/$D$67</f>
        <v>-3.412178866607901</v>
      </c>
      <c r="F85" s="17">
        <f t="shared" si="37"/>
        <v>-4.322750905606056</v>
      </c>
      <c r="G85" s="17">
        <f t="shared" si="37"/>
        <v>-6.007135853532118</v>
      </c>
      <c r="H85" s="17">
        <f t="shared" si="37"/>
        <v>-8.186354497055063</v>
      </c>
      <c r="I85" s="17">
        <f t="shared" si="37"/>
        <v>-11.1509653513087</v>
      </c>
      <c r="J85" s="17">
        <f t="shared" si="37"/>
        <v>-14.11078516849731</v>
      </c>
      <c r="K85" s="17">
        <f t="shared" si="37"/>
        <v>-17.261252654294392</v>
      </c>
      <c r="L85" s="17">
        <f t="shared" si="37"/>
        <v>-20.572592192210763</v>
      </c>
    </row>
    <row r="86" spans="3:12" ht="15">
      <c r="C86" t="s">
        <v>182</v>
      </c>
      <c r="D86" s="17"/>
      <c r="E86" s="17">
        <f aca="true" t="shared" si="38" ref="E86:L86">-E114</f>
        <v>0</v>
      </c>
      <c r="F86" s="17">
        <f t="shared" si="38"/>
        <v>0</v>
      </c>
      <c r="G86" s="17">
        <f t="shared" si="38"/>
        <v>-2.053967682945488</v>
      </c>
      <c r="H86" s="17">
        <f t="shared" si="38"/>
        <v>-2.6443144072159788</v>
      </c>
      <c r="I86" s="17">
        <f t="shared" si="38"/>
        <v>-1.4091077421836784</v>
      </c>
      <c r="J86" s="17">
        <f t="shared" si="38"/>
        <v>-3.2472939667309655</v>
      </c>
      <c r="K86" s="17">
        <f t="shared" si="38"/>
        <v>-3.2912607122200477</v>
      </c>
      <c r="L86" s="17">
        <f t="shared" si="38"/>
        <v>0</v>
      </c>
    </row>
    <row r="87" spans="3:12" ht="15">
      <c r="C87" s="3" t="s">
        <v>86</v>
      </c>
      <c r="D87" s="17"/>
      <c r="E87" s="17">
        <f aca="true" t="shared" si="39" ref="E87:L87">+E83/E74*E79</f>
        <v>0</v>
      </c>
      <c r="F87" s="17">
        <f t="shared" si="39"/>
        <v>0</v>
      </c>
      <c r="G87" s="17">
        <f t="shared" si="39"/>
        <v>0</v>
      </c>
      <c r="H87" s="17">
        <f t="shared" si="39"/>
        <v>0</v>
      </c>
      <c r="I87" s="17">
        <f t="shared" si="39"/>
        <v>0</v>
      </c>
      <c r="J87" s="17">
        <f t="shared" si="39"/>
        <v>0</v>
      </c>
      <c r="K87" s="17">
        <f t="shared" si="39"/>
        <v>0</v>
      </c>
      <c r="L87" s="17">
        <f t="shared" si="39"/>
        <v>0</v>
      </c>
    </row>
    <row r="88" spans="3:12" ht="15">
      <c r="C88" t="s">
        <v>15</v>
      </c>
      <c r="D88" s="19"/>
      <c r="E88" s="19">
        <f aca="true" t="shared" si="40" ref="E88:L88">+SUM(E83:E87)</f>
        <v>-7.516061353380245</v>
      </c>
      <c r="F88" s="19">
        <f t="shared" si="40"/>
        <v>-12.026713792820807</v>
      </c>
      <c r="G88" s="19">
        <f t="shared" si="40"/>
        <v>-21.159992715701712</v>
      </c>
      <c r="H88" s="19">
        <f t="shared" si="40"/>
        <v>-32.519661437865295</v>
      </c>
      <c r="I88" s="19">
        <f t="shared" si="40"/>
        <v>-45.8927260673043</v>
      </c>
      <c r="J88" s="19">
        <f t="shared" si="40"/>
        <v>-64.39812335421519</v>
      </c>
      <c r="K88" s="19">
        <f t="shared" si="40"/>
        <v>-86.560589804585</v>
      </c>
      <c r="L88" s="19">
        <f t="shared" si="40"/>
        <v>-109.29719674191038</v>
      </c>
    </row>
    <row r="89" spans="4:12" ht="15">
      <c r="D89" s="17"/>
      <c r="E89" s="17"/>
      <c r="F89" s="17"/>
      <c r="G89" s="17"/>
      <c r="H89" s="17"/>
      <c r="I89" s="17"/>
      <c r="J89" s="17"/>
      <c r="K89" s="17"/>
      <c r="L89" s="17"/>
    </row>
    <row r="90" spans="3:12" ht="15.75" thickBot="1">
      <c r="C90" t="s">
        <v>56</v>
      </c>
      <c r="D90" s="18"/>
      <c r="E90" s="18">
        <f aca="true" t="shared" si="41" ref="E90:L90">+E88+E80</f>
        <v>182.26324669761735</v>
      </c>
      <c r="F90" s="18">
        <f t="shared" si="41"/>
        <v>221.61480353584133</v>
      </c>
      <c r="G90" s="18">
        <f t="shared" si="41"/>
        <v>338.2409364233011</v>
      </c>
      <c r="H90" s="18">
        <f t="shared" si="41"/>
        <v>457.0349149610533</v>
      </c>
      <c r="I90" s="18">
        <f t="shared" si="41"/>
        <v>573.6051593789191</v>
      </c>
      <c r="J90" s="18">
        <f t="shared" si="41"/>
        <v>693.4129687855387</v>
      </c>
      <c r="K90" s="18">
        <f t="shared" si="41"/>
        <v>816.6263844875949</v>
      </c>
      <c r="L90" s="18">
        <f t="shared" si="41"/>
        <v>911.4810060145513</v>
      </c>
    </row>
    <row r="91" spans="1:12" ht="15.75" thickTop="1">
      <c r="A91" s="2"/>
      <c r="B91" s="2"/>
      <c r="C91" s="2"/>
      <c r="D91" s="2"/>
      <c r="E91" s="2"/>
      <c r="F91" s="2"/>
      <c r="G91" s="2"/>
      <c r="H91" s="2"/>
      <c r="I91" s="2"/>
      <c r="J91" s="2"/>
      <c r="K91" s="2"/>
      <c r="L91" s="2"/>
    </row>
    <row r="93" spans="2:12" ht="15">
      <c r="B93" s="6" t="s">
        <v>190</v>
      </c>
      <c r="E93" s="14"/>
      <c r="F93" s="14"/>
      <c r="G93" s="14"/>
      <c r="H93" s="14"/>
      <c r="I93" s="14"/>
      <c r="J93" s="14"/>
      <c r="K93" s="14"/>
      <c r="L93" s="14"/>
    </row>
    <row r="94" spans="3:12" ht="15">
      <c r="C94" t="s">
        <v>65</v>
      </c>
      <c r="D94" s="17"/>
      <c r="E94" s="17">
        <f aca="true" t="shared" si="42" ref="E94:G95">+E74+E49</f>
        <v>1173.9857103640243</v>
      </c>
      <c r="F94" s="17">
        <f t="shared" si="42"/>
        <v>1237.9489153317768</v>
      </c>
      <c r="G94" s="17">
        <f t="shared" si="42"/>
        <v>1347.376845027175</v>
      </c>
      <c r="H94" s="17">
        <f aca="true" t="shared" si="43" ref="H94:L95">+H74+H49</f>
        <v>1470.1410818829117</v>
      </c>
      <c r="I94" s="17">
        <f t="shared" si="43"/>
        <v>1628.063232961425</v>
      </c>
      <c r="J94" s="17">
        <f t="shared" si="43"/>
        <v>1786.4692584227923</v>
      </c>
      <c r="K94" s="17">
        <f t="shared" si="43"/>
        <v>1953.956749440737</v>
      </c>
      <c r="L94" s="17">
        <f t="shared" si="43"/>
        <v>2129.2362730256873</v>
      </c>
    </row>
    <row r="95" spans="3:12" ht="15">
      <c r="C95" t="s">
        <v>778</v>
      </c>
      <c r="D95" s="17"/>
      <c r="E95" s="17">
        <f t="shared" si="42"/>
        <v>27.73194591411076</v>
      </c>
      <c r="F95" s="17">
        <f t="shared" si="42"/>
        <v>30.94872288329431</v>
      </c>
      <c r="G95" s="17">
        <f t="shared" si="42"/>
        <v>33.68442112567925</v>
      </c>
      <c r="H95" s="17">
        <f t="shared" si="43"/>
        <v>36.753527047072666</v>
      </c>
      <c r="I95" s="17">
        <f t="shared" si="43"/>
        <v>40.70158082403548</v>
      </c>
      <c r="J95" s="17">
        <f t="shared" si="43"/>
        <v>44.661731460569655</v>
      </c>
      <c r="K95" s="17">
        <f t="shared" si="43"/>
        <v>48.84891873601825</v>
      </c>
      <c r="L95" s="17">
        <f t="shared" si="43"/>
        <v>53.230906825641995</v>
      </c>
    </row>
    <row r="96" spans="3:12" ht="15">
      <c r="C96" t="s">
        <v>62</v>
      </c>
      <c r="D96" s="17"/>
      <c r="E96" s="17">
        <f aca="true" t="shared" si="44" ref="E96:L96">+E88+E60</f>
        <v>-150.6870979368451</v>
      </c>
      <c r="F96" s="17">
        <f t="shared" si="44"/>
        <v>-193.78168798765518</v>
      </c>
      <c r="G96" s="17">
        <f t="shared" si="44"/>
        <v>-244.56073772246535</v>
      </c>
      <c r="H96" s="17">
        <f t="shared" si="44"/>
        <v>-297.172989498448</v>
      </c>
      <c r="I96" s="17">
        <f t="shared" si="44"/>
        <v>-352.99045579798036</v>
      </c>
      <c r="J96" s="17">
        <f t="shared" si="44"/>
        <v>-415.14760181089446</v>
      </c>
      <c r="K96" s="17">
        <f t="shared" si="44"/>
        <v>-482.18426702748997</v>
      </c>
      <c r="L96" s="17">
        <f t="shared" si="44"/>
        <v>-551.0321578974462</v>
      </c>
    </row>
    <row r="97" spans="3:12" ht="15">
      <c r="C97" t="s">
        <v>63</v>
      </c>
      <c r="D97" s="17"/>
      <c r="E97" s="17">
        <f aca="true" t="shared" si="45" ref="E97:L97">+E70+E78</f>
        <v>36.23125905364205</v>
      </c>
      <c r="F97" s="17">
        <f t="shared" si="45"/>
        <v>39.1177265763896</v>
      </c>
      <c r="G97" s="17">
        <f>+G70+G78</f>
        <v>89.0798157300575</v>
      </c>
      <c r="H97" s="17">
        <f t="shared" si="45"/>
        <v>121.16862403144073</v>
      </c>
      <c r="I97" s="17">
        <f t="shared" si="45"/>
        <v>117.70444463733193</v>
      </c>
      <c r="J97" s="17">
        <f t="shared" si="45"/>
        <v>122.825759557375</v>
      </c>
      <c r="K97" s="17">
        <f t="shared" si="45"/>
        <v>126.43060484893229</v>
      </c>
      <c r="L97" s="17">
        <f t="shared" si="45"/>
        <v>95.01155410697744</v>
      </c>
    </row>
    <row r="98" spans="3:12" ht="15">
      <c r="C98" s="3" t="s">
        <v>88</v>
      </c>
      <c r="D98" s="17"/>
      <c r="E98" s="17">
        <f aca="true" t="shared" si="46" ref="E98:L98">E52+E79</f>
        <v>0</v>
      </c>
      <c r="F98" s="17">
        <f t="shared" si="46"/>
        <v>0</v>
      </c>
      <c r="G98" s="17">
        <f t="shared" si="46"/>
        <v>0</v>
      </c>
      <c r="H98" s="17">
        <f t="shared" si="46"/>
        <v>0</v>
      </c>
      <c r="I98" s="17">
        <f t="shared" si="46"/>
        <v>0</v>
      </c>
      <c r="J98" s="17">
        <f t="shared" si="46"/>
        <v>0</v>
      </c>
      <c r="K98" s="17">
        <f t="shared" si="46"/>
        <v>0</v>
      </c>
      <c r="L98" s="17">
        <f t="shared" si="46"/>
        <v>0</v>
      </c>
    </row>
    <row r="99" spans="3:12" ht="15.75" thickBot="1">
      <c r="C99" t="s">
        <v>64</v>
      </c>
      <c r="D99" s="18"/>
      <c r="E99" s="18">
        <f aca="true" t="shared" si="47" ref="E99:L99">+SUM(E94:E98)</f>
        <v>1087.2618173949322</v>
      </c>
      <c r="F99" s="18">
        <f t="shared" si="47"/>
        <v>1114.2336768038053</v>
      </c>
      <c r="G99" s="18">
        <f t="shared" si="47"/>
        <v>1225.5803441604467</v>
      </c>
      <c r="H99" s="18">
        <f t="shared" si="47"/>
        <v>1330.890243462977</v>
      </c>
      <c r="I99" s="18">
        <f t="shared" si="47"/>
        <v>1433.4788026248123</v>
      </c>
      <c r="J99" s="18">
        <f t="shared" si="47"/>
        <v>1538.8091476298425</v>
      </c>
      <c r="K99" s="18">
        <f t="shared" si="47"/>
        <v>1647.0520059981975</v>
      </c>
      <c r="L99" s="18">
        <f t="shared" si="47"/>
        <v>1726.4465760608603</v>
      </c>
    </row>
    <row r="100" spans="3:12" ht="15.75" thickTop="1">
      <c r="C100" s="23" t="s">
        <v>89</v>
      </c>
      <c r="D100" s="17"/>
      <c r="E100" s="25" t="str">
        <f aca="true" t="shared" si="48" ref="E100:L100">IF(ABS(E99-E15)&gt;1,"err","ok!")</f>
        <v>ok!</v>
      </c>
      <c r="F100" s="25" t="str">
        <f t="shared" si="48"/>
        <v>ok!</v>
      </c>
      <c r="G100" s="25" t="str">
        <f t="shared" si="48"/>
        <v>ok!</v>
      </c>
      <c r="H100" s="25" t="str">
        <f t="shared" si="48"/>
        <v>ok!</v>
      </c>
      <c r="I100" s="25" t="str">
        <f t="shared" si="48"/>
        <v>ok!</v>
      </c>
      <c r="J100" s="25" t="str">
        <f t="shared" si="48"/>
        <v>ok!</v>
      </c>
      <c r="K100" s="25" t="str">
        <f t="shared" si="48"/>
        <v>ok!</v>
      </c>
      <c r="L100" s="25" t="str">
        <f t="shared" si="48"/>
        <v>ok!</v>
      </c>
    </row>
    <row r="101" spans="3:12" ht="15">
      <c r="C101" t="s">
        <v>773</v>
      </c>
      <c r="E101" s="26" t="str">
        <f>+IF(ABS(E99/RPI2005RAVclose-RealRAV!E89)&lt;0.5,"ok!","oh no!!!")</f>
        <v>ok!</v>
      </c>
      <c r="F101" s="26" t="str">
        <f>+IF(ABS(F99/RPI2005RAVclose-RealRAV!F89)&lt;0.5,"ok!","oh no!!!")</f>
        <v>ok!</v>
      </c>
      <c r="G101" s="26" t="str">
        <f>+IF(ABS(G99/RPI2005RAVclose-RealRAV!G89)&lt;0.5,"ok!","oh no!!!")</f>
        <v>ok!</v>
      </c>
      <c r="H101" s="26" t="str">
        <f>+IF(ABS(H99/RPI2005RAVclose-RealRAV!H89)&lt;0.5,"ok!","oh no!!!")</f>
        <v>ok!</v>
      </c>
      <c r="I101" s="26" t="str">
        <f>+IF(ABS(I99/RPI2005RAVclose-RealRAV!I89)&lt;0.5,"ok!","oh no!!!")</f>
        <v>ok!</v>
      </c>
      <c r="J101" s="26" t="str">
        <f>+IF(ABS(J99/RPI2005RAVclose-RealRAV!J89)&lt;0.5,"ok!","oh no!!!")</f>
        <v>ok!</v>
      </c>
      <c r="K101" s="26" t="str">
        <f>+IF(ABS(K99/RPI2005RAVclose-RealRAV!K89)&lt;0.5,"ok!","oh no!!!")</f>
        <v>ok!</v>
      </c>
      <c r="L101" s="26" t="str">
        <f>+IF(ABS(L99/RPI2005RAVclose-RealRAV!L89)&lt;0.5,"ok!","oh no!!!")</f>
        <v>ok!</v>
      </c>
    </row>
    <row r="102" spans="2:11" ht="15">
      <c r="B102" s="6" t="s">
        <v>544</v>
      </c>
      <c r="E102" s="17">
        <f>RealRAV!E89*RPI2005RAVclose</f>
        <v>1087.261817394932</v>
      </c>
      <c r="F102" s="17"/>
      <c r="G102" s="17"/>
      <c r="H102" s="17"/>
      <c r="I102" s="17"/>
      <c r="J102" s="17"/>
      <c r="K102" s="17"/>
    </row>
    <row r="103" spans="3:12" ht="15">
      <c r="C103" t="s">
        <v>542</v>
      </c>
      <c r="E103" s="30"/>
      <c r="F103" s="7"/>
      <c r="G103" s="7"/>
      <c r="H103" s="7"/>
      <c r="I103" s="7"/>
      <c r="J103" s="7"/>
      <c r="K103" s="7"/>
      <c r="L103" s="14"/>
    </row>
    <row r="104" spans="3:12" ht="15">
      <c r="C104" t="s">
        <v>545</v>
      </c>
      <c r="E104" s="7">
        <f>Input!E274</f>
        <v>50.002617707718315</v>
      </c>
      <c r="F104" s="7">
        <f aca="true" t="shared" si="49" ref="F104:L104">+E109</f>
        <v>77.01499416615155</v>
      </c>
      <c r="G104" s="7">
        <f t="shared" si="49"/>
        <v>105.12132304953332</v>
      </c>
      <c r="H104" s="7">
        <f t="shared" si="49"/>
        <v>89.26364697926225</v>
      </c>
      <c r="I104" s="7">
        <f t="shared" si="49"/>
        <v>67.69640848879999</v>
      </c>
      <c r="J104" s="7">
        <f t="shared" si="49"/>
        <v>56.70684902136688</v>
      </c>
      <c r="K104" s="7">
        <f t="shared" si="49"/>
        <v>28.898874546322354</v>
      </c>
      <c r="L104" s="7">
        <f t="shared" si="49"/>
        <v>0</v>
      </c>
    </row>
    <row r="105" spans="3:12" ht="15">
      <c r="C105" t="s">
        <v>775</v>
      </c>
      <c r="E105" s="21">
        <f aca="true" t="shared" si="50" ref="E105:L105">+E104*(RPIRAVindex-1)</f>
        <v>1.1811641978201155</v>
      </c>
      <c r="F105" s="21">
        <f t="shared" si="50"/>
        <v>1.925374854153782</v>
      </c>
      <c r="G105" s="21">
        <f t="shared" si="50"/>
        <v>2.6280330762383235</v>
      </c>
      <c r="H105" s="21">
        <f t="shared" si="50"/>
        <v>2.231591174481548</v>
      </c>
      <c r="I105" s="21">
        <f t="shared" si="50"/>
        <v>1.6924102122199938</v>
      </c>
      <c r="J105" s="21">
        <f t="shared" si="50"/>
        <v>1.417671225534167</v>
      </c>
      <c r="K105" s="21">
        <f t="shared" si="50"/>
        <v>0.7224718636580563</v>
      </c>
      <c r="L105" s="21">
        <f t="shared" si="50"/>
        <v>0</v>
      </c>
    </row>
    <row r="106" spans="3:12" ht="15">
      <c r="C106" t="s">
        <v>782</v>
      </c>
      <c r="E106" s="17">
        <f aca="true" t="shared" si="51" ref="E106:L106">+E104+E105</f>
        <v>51.18378190553843</v>
      </c>
      <c r="F106" s="17">
        <f t="shared" si="51"/>
        <v>78.94036902030534</v>
      </c>
      <c r="G106" s="17">
        <f t="shared" si="51"/>
        <v>107.74935612577164</v>
      </c>
      <c r="H106" s="17">
        <f t="shared" si="51"/>
        <v>91.4952381537438</v>
      </c>
      <c r="I106" s="17">
        <f t="shared" si="51"/>
        <v>69.38881870101999</v>
      </c>
      <c r="J106" s="17">
        <f t="shared" si="51"/>
        <v>58.12452024690104</v>
      </c>
      <c r="K106" s="17">
        <f t="shared" si="51"/>
        <v>29.62134640998041</v>
      </c>
      <c r="L106" s="17">
        <f t="shared" si="51"/>
        <v>0</v>
      </c>
    </row>
    <row r="107" spans="3:12" ht="15">
      <c r="C107" t="s">
        <v>122</v>
      </c>
      <c r="E107" s="7">
        <f>+Input!E121*RPI2005RAVclose</f>
        <v>25.83121226061313</v>
      </c>
      <c r="F107" s="7">
        <f>+Input!F121*RPI2005RAVclose</f>
        <v>26.180954029227983</v>
      </c>
      <c r="G107" s="7">
        <f>+Input!G121*RPI2005RAVclose</f>
        <v>0</v>
      </c>
      <c r="H107" s="7">
        <f>+Input!H121*RPI2005RAVclose</f>
        <v>0</v>
      </c>
      <c r="I107" s="7">
        <f>+Input!I121*RPI2005RAVclose</f>
        <v>0</v>
      </c>
      <c r="J107" s="7">
        <f>+Input!J121*RPI2005RAVclose</f>
        <v>0</v>
      </c>
      <c r="K107" s="7">
        <f>+Input!K121*RPI2005RAVclose</f>
        <v>0</v>
      </c>
      <c r="L107" s="7">
        <f>+Input!L121*RPI2005RAVclose</f>
        <v>0</v>
      </c>
    </row>
    <row r="108" spans="3:12" ht="15">
      <c r="C108" t="s">
        <v>546</v>
      </c>
      <c r="E108" s="28">
        <f>Input!E275</f>
        <v>0</v>
      </c>
      <c r="F108" s="28">
        <f>Input!F275</f>
        <v>0</v>
      </c>
      <c r="G108" s="28">
        <f>Input!G275</f>
        <v>-18.48570914650939</v>
      </c>
      <c r="H108" s="28">
        <f>Input!H275</f>
        <v>-23.79882966494381</v>
      </c>
      <c r="I108" s="28">
        <f>Input!I275</f>
        <v>-12.681969679653104</v>
      </c>
      <c r="J108" s="28">
        <f>+RealRAV!J96*Input!J275/Input!J259</f>
        <v>-29.22564570057869</v>
      </c>
      <c r="K108" s="28">
        <f>+RealRAV!K96*Input!K275/Input!K259</f>
        <v>-29.62134640998043</v>
      </c>
      <c r="L108" s="28">
        <f>Input!L275</f>
        <v>0</v>
      </c>
    </row>
    <row r="109" spans="3:12" ht="15">
      <c r="C109" t="s">
        <v>547</v>
      </c>
      <c r="E109" s="7">
        <f aca="true" t="shared" si="52" ref="E109:L109">+SUM(E106:E108)</f>
        <v>77.01499416615155</v>
      </c>
      <c r="F109" s="7">
        <f t="shared" si="52"/>
        <v>105.12132304953332</v>
      </c>
      <c r="G109" s="7">
        <f t="shared" si="52"/>
        <v>89.26364697926225</v>
      </c>
      <c r="H109" s="7">
        <f t="shared" si="52"/>
        <v>67.69640848879999</v>
      </c>
      <c r="I109" s="7">
        <f t="shared" si="52"/>
        <v>56.70684902136688</v>
      </c>
      <c r="J109" s="7">
        <f t="shared" si="52"/>
        <v>28.898874546322354</v>
      </c>
      <c r="K109" s="7">
        <f t="shared" si="52"/>
        <v>0</v>
      </c>
      <c r="L109" s="7">
        <f t="shared" si="52"/>
        <v>0</v>
      </c>
    </row>
    <row r="110" spans="5:12" ht="15">
      <c r="E110" s="14"/>
      <c r="F110" s="14"/>
      <c r="G110" s="14"/>
      <c r="H110" s="14"/>
      <c r="I110" s="14"/>
      <c r="J110" s="14"/>
      <c r="K110" s="14"/>
      <c r="L110" s="14"/>
    </row>
    <row r="111" spans="3:12" ht="15">
      <c r="C111" t="s">
        <v>548</v>
      </c>
      <c r="E111" s="7">
        <f>Input!E276</f>
        <v>-1.243720929585208</v>
      </c>
      <c r="F111" s="7">
        <f aca="true" t="shared" si="53" ref="F111:L111">+E115</f>
        <v>-2.4105175398209706</v>
      </c>
      <c r="G111" s="7">
        <f t="shared" si="53"/>
        <v>-4.225010900989947</v>
      </c>
      <c r="H111" s="7">
        <f t="shared" si="53"/>
        <v>-4.671098626697466</v>
      </c>
      <c r="I111" s="7">
        <f t="shared" si="53"/>
        <v>-4.176789199676564</v>
      </c>
      <c r="J111" s="7">
        <f t="shared" si="53"/>
        <v>-4.4140749363963545</v>
      </c>
      <c r="K111" s="7">
        <f t="shared" si="53"/>
        <v>-2.5687888485619874</v>
      </c>
      <c r="L111" s="7">
        <f t="shared" si="53"/>
        <v>0</v>
      </c>
    </row>
    <row r="112" spans="3:12" ht="15">
      <c r="C112" t="s">
        <v>776</v>
      </c>
      <c r="E112" s="17">
        <f aca="true" t="shared" si="54" ref="E112:L112">+E111*(RPIRAVindex-1)</f>
        <v>-0.02937923455713085</v>
      </c>
      <c r="F112" s="17">
        <f t="shared" si="54"/>
        <v>-0.060262938495524054</v>
      </c>
      <c r="G112" s="17">
        <f t="shared" si="54"/>
        <v>-0.10562527252474829</v>
      </c>
      <c r="H112" s="17">
        <f t="shared" si="54"/>
        <v>-0.11677746566743624</v>
      </c>
      <c r="I112" s="17">
        <f t="shared" si="54"/>
        <v>-0.10441972999191372</v>
      </c>
      <c r="J112" s="17">
        <f t="shared" si="54"/>
        <v>-0.11035187340990847</v>
      </c>
      <c r="K112" s="17">
        <f t="shared" si="54"/>
        <v>-0.06421972121404945</v>
      </c>
      <c r="L112" s="17">
        <f t="shared" si="54"/>
        <v>0</v>
      </c>
    </row>
    <row r="113" spans="3:12" ht="15">
      <c r="C113" t="s">
        <v>786</v>
      </c>
      <c r="E113" s="7">
        <f aca="true" t="shared" si="55" ref="E113:L113">-E106/$D$67</f>
        <v>-1.1374173756786319</v>
      </c>
      <c r="F113" s="7">
        <f t="shared" si="55"/>
        <v>-1.754230422673452</v>
      </c>
      <c r="G113" s="7">
        <f t="shared" si="55"/>
        <v>-2.3944301361282587</v>
      </c>
      <c r="H113" s="7">
        <f t="shared" si="55"/>
        <v>-2.03322751452764</v>
      </c>
      <c r="I113" s="7">
        <f t="shared" si="55"/>
        <v>-1.5419737489115553</v>
      </c>
      <c r="J113" s="7">
        <f t="shared" si="55"/>
        <v>-1.29165600548669</v>
      </c>
      <c r="K113" s="7">
        <f t="shared" si="55"/>
        <v>-0.6582521424440091</v>
      </c>
      <c r="L113" s="7">
        <f t="shared" si="55"/>
        <v>0</v>
      </c>
    </row>
    <row r="114" spans="3:12" ht="15">
      <c r="C114" t="s">
        <v>546</v>
      </c>
      <c r="E114" s="7">
        <f aca="true" t="shared" si="56" ref="E114:L114">-E108*5/$D$67</f>
        <v>0</v>
      </c>
      <c r="F114" s="7">
        <f t="shared" si="56"/>
        <v>0</v>
      </c>
      <c r="G114" s="7">
        <f t="shared" si="56"/>
        <v>2.053967682945488</v>
      </c>
      <c r="H114" s="7">
        <f t="shared" si="56"/>
        <v>2.6443144072159788</v>
      </c>
      <c r="I114" s="7">
        <f t="shared" si="56"/>
        <v>1.4091077421836784</v>
      </c>
      <c r="J114" s="7">
        <f t="shared" si="56"/>
        <v>3.2472939667309655</v>
      </c>
      <c r="K114" s="7">
        <f t="shared" si="56"/>
        <v>3.2912607122200477</v>
      </c>
      <c r="L114" s="7">
        <f t="shared" si="56"/>
        <v>0</v>
      </c>
    </row>
    <row r="115" spans="3:12" ht="15.75" thickBot="1">
      <c r="C115" t="s">
        <v>547</v>
      </c>
      <c r="D115" s="18"/>
      <c r="E115" s="18">
        <f aca="true" t="shared" si="57" ref="E115:L115">+SUM(E111:E114)</f>
        <v>-2.4105175398209706</v>
      </c>
      <c r="F115" s="18">
        <f t="shared" si="57"/>
        <v>-4.225010900989947</v>
      </c>
      <c r="G115" s="18">
        <f t="shared" si="57"/>
        <v>-4.671098626697466</v>
      </c>
      <c r="H115" s="18">
        <f t="shared" si="57"/>
        <v>-4.176789199676564</v>
      </c>
      <c r="I115" s="18">
        <f t="shared" si="57"/>
        <v>-4.4140749363963545</v>
      </c>
      <c r="J115" s="18">
        <f t="shared" si="57"/>
        <v>-2.5687888485619874</v>
      </c>
      <c r="K115" s="18">
        <f t="shared" si="57"/>
        <v>0</v>
      </c>
      <c r="L115" s="18">
        <f t="shared" si="57"/>
        <v>0</v>
      </c>
    </row>
    <row r="116" ht="15.75" thickTop="1"/>
    <row r="119" spans="2:12" ht="15">
      <c r="B119" s="6"/>
      <c r="C119" t="s">
        <v>543</v>
      </c>
      <c r="E119" s="14"/>
      <c r="F119" s="14"/>
      <c r="G119" s="14"/>
      <c r="H119" s="14"/>
      <c r="I119" s="14"/>
      <c r="J119" s="14"/>
      <c r="K119" s="14"/>
      <c r="L119" s="14"/>
    </row>
    <row r="120" spans="3:12" ht="15">
      <c r="C120" t="s">
        <v>552</v>
      </c>
      <c r="E120" s="7">
        <f>Input!E277</f>
        <v>16.75559111363375</v>
      </c>
      <c r="F120" s="7">
        <f aca="true" t="shared" si="58" ref="F120:L120">+IF(F4=6,0,E123)</f>
        <v>29.324446219272886</v>
      </c>
      <c r="G120" s="7">
        <f t="shared" si="58"/>
        <v>0</v>
      </c>
      <c r="H120" s="7">
        <f t="shared" si="58"/>
        <v>0</v>
      </c>
      <c r="I120" s="7">
        <f t="shared" si="58"/>
        <v>0</v>
      </c>
      <c r="J120" s="7">
        <f t="shared" si="58"/>
        <v>0</v>
      </c>
      <c r="K120" s="7">
        <f t="shared" si="58"/>
        <v>0</v>
      </c>
      <c r="L120" s="7">
        <f t="shared" si="58"/>
        <v>0</v>
      </c>
    </row>
    <row r="121" spans="3:12" ht="15">
      <c r="C121" t="s">
        <v>775</v>
      </c>
      <c r="E121" s="17">
        <f aca="true" t="shared" si="59" ref="E121:L121">+E120*(RPIRAVindex-1)</f>
        <v>0.3958013648889855</v>
      </c>
      <c r="F121" s="17">
        <f t="shared" si="59"/>
        <v>0.7331111554818196</v>
      </c>
      <c r="G121" s="17">
        <f t="shared" si="59"/>
        <v>0</v>
      </c>
      <c r="H121" s="17">
        <f t="shared" si="59"/>
        <v>0</v>
      </c>
      <c r="I121" s="17">
        <f t="shared" si="59"/>
        <v>0</v>
      </c>
      <c r="J121" s="17">
        <f t="shared" si="59"/>
        <v>0</v>
      </c>
      <c r="K121" s="17">
        <f t="shared" si="59"/>
        <v>0</v>
      </c>
      <c r="L121" s="17">
        <f t="shared" si="59"/>
        <v>0</v>
      </c>
    </row>
    <row r="122" spans="3:12" ht="15">
      <c r="C122" t="s">
        <v>122</v>
      </c>
      <c r="E122" s="7">
        <f>RealRAV!E108*RPI2005RAVclose</f>
        <v>12.17305374075015</v>
      </c>
      <c r="F122" s="7">
        <f>RealRAV!F108*RPI2005RAVclose</f>
        <v>9.303922860959467</v>
      </c>
      <c r="G122" s="7">
        <f>RealRAV!G108*RPI2005RAVclose</f>
        <v>0</v>
      </c>
      <c r="H122" s="7">
        <f>RealRAV!H108*RPI2005RAVclose</f>
        <v>0</v>
      </c>
      <c r="I122" s="7">
        <f>RealRAV!I108*RPI2005RAVclose</f>
        <v>0</v>
      </c>
      <c r="J122" s="7">
        <f>RealRAV!J108*RPI2005RAVclose</f>
        <v>0</v>
      </c>
      <c r="K122" s="7">
        <f>RealRAV!K108*RPI2005RAVclose</f>
        <v>0</v>
      </c>
      <c r="L122" s="7">
        <f>RealRAV!L108*RPI2005RAVclose</f>
        <v>0</v>
      </c>
    </row>
    <row r="123" spans="3:12" ht="15">
      <c r="C123" t="s">
        <v>553</v>
      </c>
      <c r="E123" s="7">
        <f aca="true" t="shared" si="60" ref="E123:L123">+SUM(E120:E122)</f>
        <v>29.324446219272886</v>
      </c>
      <c r="F123" s="7">
        <f t="shared" si="60"/>
        <v>39.36148023571417</v>
      </c>
      <c r="G123" s="7">
        <f t="shared" si="60"/>
        <v>0</v>
      </c>
      <c r="H123" s="7">
        <f t="shared" si="60"/>
        <v>0</v>
      </c>
      <c r="I123" s="7">
        <f t="shared" si="60"/>
        <v>0</v>
      </c>
      <c r="J123" s="7">
        <f t="shared" si="60"/>
        <v>0</v>
      </c>
      <c r="K123" s="7">
        <f t="shared" si="60"/>
        <v>0</v>
      </c>
      <c r="L123" s="7">
        <f t="shared" si="60"/>
        <v>0</v>
      </c>
    </row>
    <row r="124" spans="5:12" ht="15">
      <c r="E124" s="14"/>
      <c r="F124" s="14"/>
      <c r="G124" s="14"/>
      <c r="H124" s="14"/>
      <c r="I124" s="14"/>
      <c r="J124" s="14"/>
      <c r="K124" s="14"/>
      <c r="L124" s="14"/>
    </row>
    <row r="125" spans="3:12" ht="15">
      <c r="C125" t="s">
        <v>554</v>
      </c>
      <c r="E125" s="7">
        <f>Input!E278</f>
        <v>-1.0152278858040005</v>
      </c>
      <c r="F125" s="7">
        <f aca="true" t="shared" si="61" ref="F125:L125">+IF(F4=6,0,E128)</f>
        <v>-1.5197606543219266</v>
      </c>
      <c r="G125" s="7">
        <f t="shared" si="61"/>
        <v>0</v>
      </c>
      <c r="H125" s="7">
        <f t="shared" si="61"/>
        <v>0</v>
      </c>
      <c r="I125" s="7">
        <f t="shared" si="61"/>
        <v>0</v>
      </c>
      <c r="J125" s="7">
        <f t="shared" si="61"/>
        <v>0</v>
      </c>
      <c r="K125" s="7">
        <f t="shared" si="61"/>
        <v>0</v>
      </c>
      <c r="L125" s="7">
        <f t="shared" si="61"/>
        <v>0</v>
      </c>
    </row>
    <row r="126" spans="3:12" ht="15">
      <c r="C126" t="s">
        <v>777</v>
      </c>
      <c r="E126" s="17">
        <f aca="true" t="shared" si="62" ref="E126:L126">+E125*(RPIRAVindex-1)</f>
        <v>-0.023981761081984222</v>
      </c>
      <c r="F126" s="17">
        <f t="shared" si="62"/>
        <v>-0.037994016358048034</v>
      </c>
      <c r="G126" s="17">
        <f t="shared" si="62"/>
        <v>0</v>
      </c>
      <c r="H126" s="17">
        <f t="shared" si="62"/>
        <v>0</v>
      </c>
      <c r="I126" s="17">
        <f t="shared" si="62"/>
        <v>0</v>
      </c>
      <c r="J126" s="17">
        <f t="shared" si="62"/>
        <v>0</v>
      </c>
      <c r="K126" s="17">
        <f t="shared" si="62"/>
        <v>0</v>
      </c>
      <c r="L126" s="17">
        <f t="shared" si="62"/>
        <v>0</v>
      </c>
    </row>
    <row r="127" spans="3:12" ht="15">
      <c r="C127" t="s">
        <v>181</v>
      </c>
      <c r="E127" s="7">
        <f>Input!E279</f>
        <v>-0.4805510074359421</v>
      </c>
      <c r="F127" s="7">
        <f>+RealRAV!F112*RPI2005RAVclose</f>
        <v>-0.7640284406911491</v>
      </c>
      <c r="G127" s="7">
        <f>+RealRAV!G112*RPI2005RAVclose</f>
        <v>0</v>
      </c>
      <c r="H127" s="7">
        <f>+RealRAV!H112*RPI2005RAVclose</f>
        <v>0</v>
      </c>
      <c r="I127" s="7">
        <f>+RealRAV!I112*RPI2005RAVclose</f>
        <v>0</v>
      </c>
      <c r="J127" s="7">
        <f>+RealRAV!J112*RPI2005RAVclose</f>
        <v>0</v>
      </c>
      <c r="K127" s="7">
        <f>+RealRAV!K112*RPI2005RAVclose</f>
        <v>0</v>
      </c>
      <c r="L127" s="7">
        <f>+RealRAV!L112*RPI2005RAVclose</f>
        <v>0</v>
      </c>
    </row>
    <row r="128" spans="3:12" ht="15">
      <c r="C128" t="s">
        <v>555</v>
      </c>
      <c r="E128" s="7">
        <f aca="true" t="shared" si="63" ref="E128:L128">+SUM(E125:E127)</f>
        <v>-1.5197606543219266</v>
      </c>
      <c r="F128" s="7">
        <f t="shared" si="63"/>
        <v>-2.321783111371124</v>
      </c>
      <c r="G128" s="7">
        <f t="shared" si="63"/>
        <v>0</v>
      </c>
      <c r="H128" s="7">
        <f t="shared" si="63"/>
        <v>0</v>
      </c>
      <c r="I128" s="7">
        <f t="shared" si="63"/>
        <v>0</v>
      </c>
      <c r="J128" s="7">
        <f t="shared" si="63"/>
        <v>0</v>
      </c>
      <c r="K128" s="7">
        <f t="shared" si="63"/>
        <v>0</v>
      </c>
      <c r="L128" s="7">
        <f t="shared" si="63"/>
        <v>0</v>
      </c>
    </row>
    <row r="130" spans="3:12" ht="15">
      <c r="C130" t="s">
        <v>568</v>
      </c>
      <c r="E130" s="14"/>
      <c r="F130" s="14"/>
      <c r="G130" s="14"/>
      <c r="H130" s="14"/>
      <c r="I130" s="14"/>
      <c r="J130" s="14"/>
      <c r="K130" s="14"/>
      <c r="L130" s="14"/>
    </row>
    <row r="131" spans="3:12" ht="15">
      <c r="C131" t="s">
        <v>545</v>
      </c>
      <c r="E131" s="7">
        <f aca="true" t="shared" si="64" ref="E131:L131">+E120+E125</f>
        <v>15.740363227829748</v>
      </c>
      <c r="F131" s="7">
        <f t="shared" si="64"/>
        <v>27.804685564950958</v>
      </c>
      <c r="G131" s="7">
        <f t="shared" si="64"/>
        <v>0</v>
      </c>
      <c r="H131" s="7">
        <f t="shared" si="64"/>
        <v>0</v>
      </c>
      <c r="I131" s="7">
        <f t="shared" si="64"/>
        <v>0</v>
      </c>
      <c r="J131" s="7">
        <f t="shared" si="64"/>
        <v>0</v>
      </c>
      <c r="K131" s="7">
        <f t="shared" si="64"/>
        <v>0</v>
      </c>
      <c r="L131" s="7">
        <f t="shared" si="64"/>
        <v>0</v>
      </c>
    </row>
    <row r="132" spans="3:12" ht="15">
      <c r="C132" t="s">
        <v>776</v>
      </c>
      <c r="E132" s="7">
        <f aca="true" t="shared" si="65" ref="E132:L132">+E121+E126</f>
        <v>0.37181960380700124</v>
      </c>
      <c r="F132" s="7">
        <f t="shared" si="65"/>
        <v>0.6951171391237716</v>
      </c>
      <c r="G132" s="7">
        <f t="shared" si="65"/>
        <v>0</v>
      </c>
      <c r="H132" s="7">
        <f t="shared" si="65"/>
        <v>0</v>
      </c>
      <c r="I132" s="7">
        <f t="shared" si="65"/>
        <v>0</v>
      </c>
      <c r="J132" s="7">
        <f t="shared" si="65"/>
        <v>0</v>
      </c>
      <c r="K132" s="7">
        <f t="shared" si="65"/>
        <v>0</v>
      </c>
      <c r="L132" s="7">
        <f t="shared" si="65"/>
        <v>0</v>
      </c>
    </row>
    <row r="133" spans="3:12" ht="15">
      <c r="C133" t="s">
        <v>122</v>
      </c>
      <c r="E133" s="7">
        <f aca="true" t="shared" si="66" ref="E133:L133">+E122</f>
        <v>12.17305374075015</v>
      </c>
      <c r="F133" s="7">
        <f t="shared" si="66"/>
        <v>9.303922860959467</v>
      </c>
      <c r="G133" s="7">
        <f t="shared" si="66"/>
        <v>0</v>
      </c>
      <c r="H133" s="7">
        <f t="shared" si="66"/>
        <v>0</v>
      </c>
      <c r="I133" s="7">
        <f t="shared" si="66"/>
        <v>0</v>
      </c>
      <c r="J133" s="7">
        <f t="shared" si="66"/>
        <v>0</v>
      </c>
      <c r="K133" s="7">
        <f t="shared" si="66"/>
        <v>0</v>
      </c>
      <c r="L133" s="7">
        <f t="shared" si="66"/>
        <v>0</v>
      </c>
    </row>
    <row r="134" spans="3:12" ht="15">
      <c r="C134" t="s">
        <v>786</v>
      </c>
      <c r="E134" s="7">
        <f aca="true" t="shared" si="67" ref="E134:L134">+E127</f>
        <v>-0.4805510074359421</v>
      </c>
      <c r="F134" s="7">
        <f t="shared" si="67"/>
        <v>-0.7640284406911491</v>
      </c>
      <c r="G134" s="7">
        <f t="shared" si="67"/>
        <v>0</v>
      </c>
      <c r="H134" s="7">
        <f t="shared" si="67"/>
        <v>0</v>
      </c>
      <c r="I134" s="7">
        <f t="shared" si="67"/>
        <v>0</v>
      </c>
      <c r="J134" s="7">
        <f t="shared" si="67"/>
        <v>0</v>
      </c>
      <c r="K134" s="7">
        <f t="shared" si="67"/>
        <v>0</v>
      </c>
      <c r="L134" s="7">
        <f t="shared" si="67"/>
        <v>0</v>
      </c>
    </row>
    <row r="135" spans="3:12" ht="15">
      <c r="C135" t="s">
        <v>547</v>
      </c>
      <c r="E135" s="7">
        <f aca="true" t="shared" si="68" ref="E135:L135">+SUM(E131:E134)</f>
        <v>27.804685564950958</v>
      </c>
      <c r="F135" s="7">
        <f t="shared" si="68"/>
        <v>37.03969712434305</v>
      </c>
      <c r="G135" s="7">
        <f t="shared" si="68"/>
        <v>0</v>
      </c>
      <c r="H135" s="7">
        <f t="shared" si="68"/>
        <v>0</v>
      </c>
      <c r="I135" s="7">
        <f t="shared" si="68"/>
        <v>0</v>
      </c>
      <c r="J135" s="7">
        <f t="shared" si="68"/>
        <v>0</v>
      </c>
      <c r="K135" s="7">
        <f t="shared" si="68"/>
        <v>0</v>
      </c>
      <c r="L135" s="7">
        <f t="shared" si="68"/>
        <v>0</v>
      </c>
    </row>
  </sheetData>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61" r:id="rId1"/>
  <headerFooter alignWithMargins="0">
    <oddHeader>&amp;L&amp;F&amp;R&amp;A</oddHeader>
    <oddFooter>&amp;L&amp;D&amp;T&amp;CPage &amp;P of &amp;N</oddFooter>
  </headerFooter>
</worksheet>
</file>

<file path=xl/worksheets/sheet29.xml><?xml version="1.0" encoding="utf-8"?>
<worksheet xmlns="http://schemas.openxmlformats.org/spreadsheetml/2006/main" xmlns:r="http://schemas.openxmlformats.org/officeDocument/2006/relationships">
  <sheetPr codeName="Sheet30">
    <tabColor indexed="10"/>
  </sheetPr>
  <dimension ref="B19:B19"/>
  <sheetViews>
    <sheetView workbookViewId="0" topLeftCell="IV1">
      <selection activeCell="A1" sqref="A1"/>
    </sheetView>
  </sheetViews>
  <sheetFormatPr defaultColWidth="9.00390625" defaultRowHeight="15"/>
  <cols>
    <col min="1" max="16384" width="0" style="0" hidden="1" customWidth="1"/>
  </cols>
  <sheetData>
    <row r="19" ht="15">
      <c r="B19" s="1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tabColor indexed="10"/>
  </sheetPr>
  <dimension ref="B2:B19"/>
  <sheetViews>
    <sheetView workbookViewId="0" topLeftCell="IV1">
      <selection activeCell="H30" sqref="H30"/>
    </sheetView>
  </sheetViews>
  <sheetFormatPr defaultColWidth="9.00390625" defaultRowHeight="15"/>
  <cols>
    <col min="1" max="16384" width="0" style="0" hidden="1" customWidth="1"/>
  </cols>
  <sheetData>
    <row r="2" ht="15">
      <c r="B2" s="6"/>
    </row>
    <row r="19" ht="15">
      <c r="B19" s="12"/>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Sheet43">
    <pageSetUpPr fitToPage="1"/>
  </sheetPr>
  <dimension ref="A3:J35"/>
  <sheetViews>
    <sheetView zoomScale="55" zoomScaleNormal="55" workbookViewId="0" topLeftCell="A1">
      <selection activeCell="A1" sqref="A1"/>
    </sheetView>
  </sheetViews>
  <sheetFormatPr defaultColWidth="9.00390625" defaultRowHeight="15"/>
  <cols>
    <col min="1" max="2" width="9.125" style="63" customWidth="1"/>
    <col min="3" max="3" width="8.375" style="63" customWidth="1"/>
    <col min="4" max="4" width="69.125" style="63" customWidth="1"/>
    <col min="5" max="9" width="11.125" style="63" customWidth="1"/>
    <col min="10" max="10" width="10.375" style="63" customWidth="1"/>
    <col min="11" max="16384" width="9.00390625" style="63" customWidth="1"/>
  </cols>
  <sheetData>
    <row r="3" spans="1:2" ht="15" thickBot="1">
      <c r="A3" s="71"/>
      <c r="B3" s="71"/>
    </row>
    <row r="4" spans="1:10" ht="19.5" customHeight="1">
      <c r="A4" s="71"/>
      <c r="B4" s="71"/>
      <c r="C4" s="180" t="str">
        <f>+CHOOSE(Input!B196,Input!B187,Input!B188,Input!B189,Input!B190,Input!B191,Input!B192,Input!B193,Input!B194,Input!B195,)</f>
        <v>Wales &amp; West</v>
      </c>
      <c r="D4" s="432"/>
      <c r="E4" s="433" t="s">
        <v>35</v>
      </c>
      <c r="F4" s="433" t="s">
        <v>36</v>
      </c>
      <c r="G4" s="433" t="s">
        <v>37</v>
      </c>
      <c r="H4" s="433" t="s">
        <v>38</v>
      </c>
      <c r="I4" s="435" t="s">
        <v>39</v>
      </c>
      <c r="J4" s="461" t="s">
        <v>277</v>
      </c>
    </row>
    <row r="5" spans="1:10" ht="18" customHeight="1">
      <c r="A5" s="71"/>
      <c r="B5" s="71"/>
      <c r="C5" s="181"/>
      <c r="D5" s="182"/>
      <c r="E5" s="429" t="s">
        <v>316</v>
      </c>
      <c r="F5" s="429" t="s">
        <v>316</v>
      </c>
      <c r="G5" s="429" t="s">
        <v>316</v>
      </c>
      <c r="H5" s="429" t="s">
        <v>316</v>
      </c>
      <c r="I5" s="436" t="s">
        <v>316</v>
      </c>
      <c r="J5" s="441" t="s">
        <v>316</v>
      </c>
    </row>
    <row r="6" spans="1:10" ht="18" customHeight="1">
      <c r="A6" s="71"/>
      <c r="B6" s="71"/>
      <c r="C6" s="183"/>
      <c r="D6" s="184" t="s">
        <v>17</v>
      </c>
      <c r="E6" s="184"/>
      <c r="F6" s="184"/>
      <c r="G6" s="184"/>
      <c r="H6" s="184"/>
      <c r="I6" s="437"/>
      <c r="J6" s="442"/>
    </row>
    <row r="7" spans="3:10" ht="18" customHeight="1">
      <c r="C7" s="185">
        <v>1</v>
      </c>
      <c r="D7" s="186" t="s">
        <v>317</v>
      </c>
      <c r="E7" s="430">
        <f>+RealRAV!H30</f>
        <v>1234.9547114419083</v>
      </c>
      <c r="F7" s="430">
        <f>+RealRAV!I30</f>
        <v>1282.298110184699</v>
      </c>
      <c r="G7" s="430">
        <f>+RealRAV!J30</f>
        <v>1332.989525602214</v>
      </c>
      <c r="H7" s="430">
        <f>+RealRAV!K30</f>
        <v>1369.9471195607525</v>
      </c>
      <c r="I7" s="438">
        <f>+RealRAV!L30</f>
        <v>1406.4823043355455</v>
      </c>
      <c r="J7" s="443">
        <f>AVERAGE(E7:I7)</f>
        <v>1325.3343542250238</v>
      </c>
    </row>
    <row r="8" spans="3:10" ht="18" customHeight="1">
      <c r="C8" s="185">
        <v>2</v>
      </c>
      <c r="D8" s="186" t="s">
        <v>318</v>
      </c>
      <c r="E8" s="430">
        <f>'IQI calculation'!H41-'GDN data output sheet'!E9</f>
        <v>56.435971717879944</v>
      </c>
      <c r="F8" s="430">
        <f>'IQI calculation'!I41-'GDN data output sheet'!F9</f>
        <v>55.85785436166043</v>
      </c>
      <c r="G8" s="430">
        <f>'IQI calculation'!J41-'GDN data output sheet'!G9</f>
        <v>45.648697168264505</v>
      </c>
      <c r="H8" s="430">
        <f>'IQI calculation'!K41-'GDN data output sheet'!H9</f>
        <v>46.324052520597164</v>
      </c>
      <c r="I8" s="438">
        <f>'IQI calculation'!L41-'GDN data output sheet'!I9</f>
        <v>43.57125361707348</v>
      </c>
      <c r="J8" s="443">
        <f aca="true" t="shared" si="0" ref="J8:J30">AVERAGE(E8:I8)</f>
        <v>49.567565877095106</v>
      </c>
    </row>
    <row r="9" spans="3:10" ht="18" customHeight="1">
      <c r="C9" s="185">
        <v>3</v>
      </c>
      <c r="D9" s="186" t="s">
        <v>519</v>
      </c>
      <c r="E9" s="430">
        <f>-Input!H81</f>
        <v>33.105207414922084</v>
      </c>
      <c r="F9" s="430">
        <f>-Input!I81</f>
        <v>38.36514819531459</v>
      </c>
      <c r="G9" s="430">
        <f>-Input!J81</f>
        <v>36.27833119972033</v>
      </c>
      <c r="H9" s="430">
        <f>-Input!K81</f>
        <v>36.345170062761454</v>
      </c>
      <c r="I9" s="438">
        <f>-Input!L81</f>
        <v>35.58395843109835</v>
      </c>
      <c r="J9" s="443">
        <f t="shared" si="0"/>
        <v>35.93556306076336</v>
      </c>
    </row>
    <row r="10" spans="3:10" ht="18" customHeight="1">
      <c r="C10" s="185">
        <v>4</v>
      </c>
      <c r="D10" s="186" t="s">
        <v>786</v>
      </c>
      <c r="E10" s="430">
        <f>+RealRAV!H31</f>
        <v>-42.19778039001125</v>
      </c>
      <c r="F10" s="430">
        <f>+RealRAV!I31</f>
        <v>-43.53158713946013</v>
      </c>
      <c r="G10" s="430">
        <f>+RealRAV!J31</f>
        <v>-44.969434409446194</v>
      </c>
      <c r="H10" s="430">
        <f>+RealRAV!K31</f>
        <v>-46.13403780856581</v>
      </c>
      <c r="I10" s="438">
        <f>+RealRAV!L31</f>
        <v>-47.315134412471494</v>
      </c>
      <c r="J10" s="443">
        <f t="shared" si="0"/>
        <v>-44.829594831990974</v>
      </c>
    </row>
    <row r="11" spans="3:10" ht="18" customHeight="1">
      <c r="C11" s="185">
        <v>5</v>
      </c>
      <c r="D11" s="186" t="s">
        <v>319</v>
      </c>
      <c r="E11" s="430">
        <f>+SUM(E7:E10)</f>
        <v>1282.298110184699</v>
      </c>
      <c r="F11" s="430">
        <f>+SUM(F7:F10)</f>
        <v>1332.989525602214</v>
      </c>
      <c r="G11" s="430">
        <f>+SUM(G7:G10)</f>
        <v>1369.9471195607525</v>
      </c>
      <c r="H11" s="430">
        <f>+SUM(H7:H10)</f>
        <v>1406.4823043355455</v>
      </c>
      <c r="I11" s="438">
        <f>+SUM(I7:I10)</f>
        <v>1438.322381971246</v>
      </c>
      <c r="J11" s="443">
        <f t="shared" si="0"/>
        <v>1366.0078883308913</v>
      </c>
    </row>
    <row r="12" spans="3:10" ht="18" customHeight="1">
      <c r="C12" s="185">
        <v>6</v>
      </c>
      <c r="D12" s="186" t="s">
        <v>518</v>
      </c>
      <c r="E12" s="430">
        <f>E11/(1+'Allowed revenue'!H10)</f>
        <v>1223.056319699266</v>
      </c>
      <c r="F12" s="430">
        <f>F11/(1+'Allowed revenue'!I10)</f>
        <v>1271.4058068337063</v>
      </c>
      <c r="G12" s="430">
        <f>G11/(1+'Allowed revenue'!J10)</f>
        <v>1306.6559709670369</v>
      </c>
      <c r="H12" s="430">
        <f>H11/(1+'Allowed revenue'!K10)</f>
        <v>1341.5032410950062</v>
      </c>
      <c r="I12" s="438">
        <f>I11/(1+'Allowed revenue'!L10)</f>
        <v>1371.8723166342734</v>
      </c>
      <c r="J12" s="443">
        <f t="shared" si="0"/>
        <v>1302.8987310458579</v>
      </c>
    </row>
    <row r="13" spans="3:10" ht="18" customHeight="1">
      <c r="C13" s="185">
        <v>7</v>
      </c>
      <c r="D13" s="186" t="s">
        <v>520</v>
      </c>
      <c r="E13" s="430">
        <f>+(E7-E12)/'Allowed revenue'!H13</f>
        <v>12.183148465913018</v>
      </c>
      <c r="F13" s="430">
        <f>+(F7-F12)/'Allowed revenue'!I13</f>
        <v>11.152981993803124</v>
      </c>
      <c r="G13" s="430">
        <f>+(G7-G12)/'Allowed revenue'!J13</f>
        <v>26.963779029546824</v>
      </c>
      <c r="H13" s="430">
        <f>+(H7-H12)/'Allowed revenue'!K13</f>
        <v>29.12460791256614</v>
      </c>
      <c r="I13" s="438">
        <f>+(I7-I12)/'Allowed revenue'!L13</f>
        <v>35.43828676079374</v>
      </c>
      <c r="J13" s="443">
        <f t="shared" si="0"/>
        <v>22.972560832524568</v>
      </c>
    </row>
    <row r="14" spans="3:10" ht="18" customHeight="1">
      <c r="C14" s="183"/>
      <c r="D14" s="184" t="s">
        <v>326</v>
      </c>
      <c r="E14" s="431"/>
      <c r="F14" s="431"/>
      <c r="G14" s="431"/>
      <c r="H14" s="431"/>
      <c r="I14" s="439"/>
      <c r="J14" s="444"/>
    </row>
    <row r="15" spans="3:10" ht="18" customHeight="1">
      <c r="C15" s="185">
        <v>8</v>
      </c>
      <c r="D15" s="186" t="s">
        <v>521</v>
      </c>
      <c r="E15" s="430">
        <f>-Input!H75+Input!H74+Input!H73</f>
        <v>78.14287023469812</v>
      </c>
      <c r="F15" s="430">
        <f>-Input!I75+Input!I74+Input!I73</f>
        <v>78.23304246727022</v>
      </c>
      <c r="G15" s="430">
        <f>-Input!J75+Input!J74+Input!J73</f>
        <v>75.99209405899293</v>
      </c>
      <c r="H15" s="430">
        <f>-Input!K75+Input!K74+Input!K73</f>
        <v>74.3528309738367</v>
      </c>
      <c r="I15" s="438">
        <f>-Input!L75+Input!L74+Input!L73</f>
        <v>72.63315273279669</v>
      </c>
      <c r="J15" s="443">
        <f t="shared" si="0"/>
        <v>75.87079809351893</v>
      </c>
    </row>
    <row r="16" spans="3:10" ht="18" customHeight="1">
      <c r="C16" s="185">
        <f aca="true" t="shared" si="1" ref="C16:C25">+C15+1</f>
        <v>9</v>
      </c>
      <c r="D16" s="186" t="s">
        <v>577</v>
      </c>
      <c r="E16" s="430">
        <f>-Input!H73</f>
        <v>11.86045240855998</v>
      </c>
      <c r="F16" s="430">
        <f>-Input!I73</f>
        <v>11.86045240855998</v>
      </c>
      <c r="G16" s="430">
        <f>-Input!J73</f>
        <v>11.86045240855998</v>
      </c>
      <c r="H16" s="430">
        <f>-Input!K73</f>
        <v>11.86045240855998</v>
      </c>
      <c r="I16" s="438">
        <f>-Input!L73</f>
        <v>11.86045240855998</v>
      </c>
      <c r="J16" s="443">
        <f t="shared" si="0"/>
        <v>11.86045240855998</v>
      </c>
    </row>
    <row r="17" spans="3:10" ht="18" customHeight="1">
      <c r="C17" s="185">
        <f t="shared" si="1"/>
        <v>10</v>
      </c>
      <c r="D17" s="186" t="s">
        <v>390</v>
      </c>
      <c r="E17" s="430">
        <f>'Pension Allowances'!H7</f>
        <v>5.055707903896409</v>
      </c>
      <c r="F17" s="430">
        <f>'Pension Allowances'!I7</f>
        <v>4.932397955020887</v>
      </c>
      <c r="G17" s="430">
        <f>'Pension Allowances'!J7</f>
        <v>4.812095565874037</v>
      </c>
      <c r="H17" s="430">
        <f>'Pension Allowances'!K7</f>
        <v>4.694727381340525</v>
      </c>
      <c r="I17" s="430">
        <f>'Pension Allowances'!L7</f>
        <v>4.580221835454171</v>
      </c>
      <c r="J17" s="443">
        <f t="shared" si="0"/>
        <v>4.815030128317206</v>
      </c>
    </row>
    <row r="18" spans="3:10" ht="18" customHeight="1">
      <c r="C18" s="185">
        <f t="shared" si="1"/>
        <v>11</v>
      </c>
      <c r="D18" s="186" t="s">
        <v>406</v>
      </c>
      <c r="E18" s="430">
        <f>-Input!H80</f>
        <v>33.105207414922084</v>
      </c>
      <c r="F18" s="430">
        <f>-Input!I80</f>
        <v>38.36514819531459</v>
      </c>
      <c r="G18" s="430">
        <f>-Input!J80</f>
        <v>36.27833119972033</v>
      </c>
      <c r="H18" s="430">
        <f>-Input!K80</f>
        <v>36.345170062761454</v>
      </c>
      <c r="I18" s="430">
        <f>-Input!L80</f>
        <v>35.58395843109835</v>
      </c>
      <c r="J18" s="443">
        <f t="shared" si="0"/>
        <v>35.93556306076336</v>
      </c>
    </row>
    <row r="19" spans="3:10" ht="18" customHeight="1">
      <c r="C19" s="185">
        <f t="shared" si="1"/>
        <v>12</v>
      </c>
      <c r="D19" s="186" t="s">
        <v>26</v>
      </c>
      <c r="E19" s="430">
        <f>+'Allowed revenue'!H28</f>
        <v>0</v>
      </c>
      <c r="F19" s="430">
        <f>+'Allowed revenue'!I28</f>
        <v>0</v>
      </c>
      <c r="G19" s="430">
        <f>+'Allowed revenue'!J28</f>
        <v>0</v>
      </c>
      <c r="H19" s="430">
        <f>+'Allowed revenue'!K28</f>
        <v>0</v>
      </c>
      <c r="I19" s="438">
        <f>+'Allowed revenue'!L28</f>
        <v>0</v>
      </c>
      <c r="J19" s="443">
        <f t="shared" si="0"/>
        <v>0</v>
      </c>
    </row>
    <row r="20" spans="3:10" ht="18" customHeight="1">
      <c r="C20" s="185">
        <f t="shared" si="1"/>
        <v>13</v>
      </c>
      <c r="D20" s="186" t="s">
        <v>322</v>
      </c>
      <c r="E20" s="430">
        <f>+E13+SUM(E8:E9)-E21</f>
        <v>59.526547208703796</v>
      </c>
      <c r="F20" s="430">
        <f>+F13+SUM(F8:F9)-F21</f>
        <v>61.84439741131801</v>
      </c>
      <c r="G20" s="430">
        <f>+G13+SUM(G8:G9)-G21</f>
        <v>63.921372988085466</v>
      </c>
      <c r="H20" s="430">
        <f>+H13+SUM(H8:H9)-H21</f>
        <v>65.65979268735896</v>
      </c>
      <c r="I20" s="438">
        <f>+I13+SUM(I8:I9)-I21</f>
        <v>67.27836439649407</v>
      </c>
      <c r="J20" s="443">
        <f t="shared" si="0"/>
        <v>63.64609493839206</v>
      </c>
    </row>
    <row r="21" spans="3:10" ht="18" customHeight="1">
      <c r="C21" s="185">
        <f t="shared" si="1"/>
        <v>14</v>
      </c>
      <c r="D21" s="186" t="s">
        <v>786</v>
      </c>
      <c r="E21" s="430">
        <f>-E10</f>
        <v>42.19778039001125</v>
      </c>
      <c r="F21" s="430">
        <f>-F10</f>
        <v>43.53158713946013</v>
      </c>
      <c r="G21" s="430">
        <f>-G10</f>
        <v>44.969434409446194</v>
      </c>
      <c r="H21" s="430">
        <f>-H10</f>
        <v>46.13403780856581</v>
      </c>
      <c r="I21" s="438">
        <f>-I10</f>
        <v>47.315134412471494</v>
      </c>
      <c r="J21" s="443">
        <f t="shared" si="0"/>
        <v>44.829594831990974</v>
      </c>
    </row>
    <row r="22" spans="3:10" ht="18" customHeight="1">
      <c r="C22" s="185">
        <f t="shared" si="1"/>
        <v>15</v>
      </c>
      <c r="D22" s="186" t="s">
        <v>505</v>
      </c>
      <c r="E22" s="430">
        <f>+'Allowed revenue'!H26</f>
        <v>0.15768351415261403</v>
      </c>
      <c r="F22" s="430">
        <f>+'Allowed revenue'!I26</f>
        <v>0.1677912030648082</v>
      </c>
      <c r="G22" s="430">
        <f>+'Allowed revenue'!J26</f>
        <v>0.15748145402996397</v>
      </c>
      <c r="H22" s="430">
        <f>+'Allowed revenue'!K26</f>
        <v>0.16077926994344327</v>
      </c>
      <c r="I22" s="438">
        <f>+'Allowed revenue'!L26</f>
        <v>0.15973864812870298</v>
      </c>
      <c r="J22" s="443">
        <f t="shared" si="0"/>
        <v>0.1606948178639065</v>
      </c>
    </row>
    <row r="23" spans="3:10" ht="18" customHeight="1">
      <c r="C23" s="185">
        <f t="shared" si="1"/>
        <v>16</v>
      </c>
      <c r="D23" s="186" t="s">
        <v>72</v>
      </c>
      <c r="E23" s="430">
        <f>+'Allowed revenue'!H25</f>
        <v>-5.143303538656436</v>
      </c>
      <c r="F23" s="430">
        <f>+'Allowed revenue'!I25</f>
        <v>-3.8779201381875907</v>
      </c>
      <c r="G23" s="430">
        <f>+'Allowed revenue'!J25</f>
        <v>-2.792033316470558</v>
      </c>
      <c r="H23" s="430">
        <f>+'Allowed revenue'!K25</f>
        <v>-1.1136623149696412</v>
      </c>
      <c r="I23" s="438">
        <f>+'Allowed revenue'!L25</f>
        <v>0</v>
      </c>
      <c r="J23" s="443">
        <f t="shared" si="0"/>
        <v>-2.585383861656845</v>
      </c>
    </row>
    <row r="24" spans="3:10" ht="18" customHeight="1">
      <c r="C24" s="185">
        <f t="shared" si="1"/>
        <v>17</v>
      </c>
      <c r="D24" s="186" t="s">
        <v>323</v>
      </c>
      <c r="E24" s="430">
        <f>+'Allowed revenue'!H40+'Allowed revenue'!H41+'Allowed revenue'!H44</f>
        <v>3.2570912845070947</v>
      </c>
      <c r="F24" s="430">
        <f>+'Allowed revenue'!I40+'Allowed revenue'!I41+'Allowed revenue'!I44</f>
        <v>3.168981832178117</v>
      </c>
      <c r="G24" s="430">
        <f>+'Allowed revenue'!J40+'Allowed revenue'!J41+'Allowed revenue'!J44</f>
        <v>3.168981832178117</v>
      </c>
      <c r="H24" s="430">
        <f>+'Allowed revenue'!K40+'Allowed revenue'!K41+'Allowed revenue'!K44</f>
        <v>3.168981832178117</v>
      </c>
      <c r="I24" s="438">
        <f>+'Allowed revenue'!L40+'Allowed revenue'!L41+'Allowed revenue'!L44</f>
        <v>3.168981832178117</v>
      </c>
      <c r="J24" s="443">
        <f t="shared" si="0"/>
        <v>3.1866037226439126</v>
      </c>
    </row>
    <row r="25" spans="3:10" ht="18" customHeight="1">
      <c r="C25" s="185">
        <f t="shared" si="1"/>
        <v>18</v>
      </c>
      <c r="D25" s="186" t="s">
        <v>327</v>
      </c>
      <c r="E25" s="430">
        <f>SUM(E15:E24)</f>
        <v>228.1600368207949</v>
      </c>
      <c r="F25" s="430">
        <f>SUM(F15:F24)</f>
        <v>238.22587847399916</v>
      </c>
      <c r="G25" s="430">
        <f>SUM(G15:G24)</f>
        <v>238.36821060041643</v>
      </c>
      <c r="H25" s="430">
        <f>SUM(H15:H24)</f>
        <v>241.26311010957534</v>
      </c>
      <c r="I25" s="438">
        <f>SUM(I15:I24)</f>
        <v>242.58000469718155</v>
      </c>
      <c r="J25" s="443">
        <f t="shared" si="0"/>
        <v>237.71944814039347</v>
      </c>
    </row>
    <row r="26" spans="3:10" ht="18" customHeight="1">
      <c r="C26" s="183"/>
      <c r="D26" s="184" t="s">
        <v>325</v>
      </c>
      <c r="E26" s="431"/>
      <c r="F26" s="431"/>
      <c r="G26" s="431"/>
      <c r="H26" s="431"/>
      <c r="I26" s="439"/>
      <c r="J26" s="444"/>
    </row>
    <row r="27" spans="3:10" ht="18" customHeight="1">
      <c r="C27" s="185">
        <f>+C25+1</f>
        <v>19</v>
      </c>
      <c r="D27" s="186" t="s">
        <v>146</v>
      </c>
      <c r="E27" s="430">
        <f>+E25</f>
        <v>228.1600368207949</v>
      </c>
      <c r="F27" s="430">
        <f>+F25</f>
        <v>238.22587847399916</v>
      </c>
      <c r="G27" s="430">
        <f>+G25</f>
        <v>238.36821060041643</v>
      </c>
      <c r="H27" s="430">
        <f>+H25</f>
        <v>241.26311010957534</v>
      </c>
      <c r="I27" s="438">
        <f>+I25</f>
        <v>242.58000469718155</v>
      </c>
      <c r="J27" s="443">
        <f t="shared" si="0"/>
        <v>237.71944814039347</v>
      </c>
    </row>
    <row r="28" spans="3:10" ht="18" customHeight="1">
      <c r="C28" s="185">
        <f>+C27+1</f>
        <v>20</v>
      </c>
      <c r="D28" s="186" t="s">
        <v>330</v>
      </c>
      <c r="E28" s="430">
        <f>+'Allowed revenue'!H43</f>
        <v>2.7150774127040513</v>
      </c>
      <c r="F28" s="430">
        <f>+'Allowed revenue'!I43</f>
        <v>2.6488560123941967</v>
      </c>
      <c r="G28" s="430">
        <f>+'Allowed revenue'!J43</f>
        <v>2.5842497681894603</v>
      </c>
      <c r="H28" s="430">
        <f>+'Allowed revenue'!K43</f>
        <v>2.5212192860384985</v>
      </c>
      <c r="I28" s="438">
        <f>+'Allowed revenue'!L43</f>
        <v>2.4597261327204865</v>
      </c>
      <c r="J28" s="443">
        <f t="shared" si="0"/>
        <v>2.5858257224093384</v>
      </c>
    </row>
    <row r="29" spans="3:10" ht="18" customHeight="1">
      <c r="C29" s="185">
        <f>+C28+1</f>
        <v>21</v>
      </c>
      <c r="D29" s="186" t="s">
        <v>324</v>
      </c>
      <c r="E29" s="430">
        <f>+'Allowed revenue'!H23</f>
        <v>22.265170731707315</v>
      </c>
      <c r="F29" s="430">
        <f>+'Allowed revenue'!I23</f>
        <v>22.265170731707315</v>
      </c>
      <c r="G29" s="430">
        <f>+'Allowed revenue'!J23</f>
        <v>22.265170731707315</v>
      </c>
      <c r="H29" s="430">
        <f>+'Allowed revenue'!K23</f>
        <v>22.265170731707315</v>
      </c>
      <c r="I29" s="438">
        <f>+'Allowed revenue'!L23</f>
        <v>22.265170731707315</v>
      </c>
      <c r="J29" s="443">
        <f t="shared" si="0"/>
        <v>22.265170731707315</v>
      </c>
    </row>
    <row r="30" spans="3:10" ht="18" customHeight="1">
      <c r="C30" s="185">
        <f>+C29+1</f>
        <v>22</v>
      </c>
      <c r="D30" s="186" t="s">
        <v>25</v>
      </c>
      <c r="E30" s="430">
        <f>+SUM(E27:E29)</f>
        <v>253.14028496520626</v>
      </c>
      <c r="F30" s="430">
        <f>+SUM(F27:F29)</f>
        <v>263.1399052181007</v>
      </c>
      <c r="G30" s="430">
        <f>+SUM(G27:G29)</f>
        <v>263.2176311003132</v>
      </c>
      <c r="H30" s="430">
        <f>+SUM(H27:H29)</f>
        <v>266.04950012732115</v>
      </c>
      <c r="I30" s="438">
        <f>+SUM(I27:I29)</f>
        <v>267.3049015616093</v>
      </c>
      <c r="J30" s="443">
        <f t="shared" si="0"/>
        <v>262.57044459451015</v>
      </c>
    </row>
    <row r="31" spans="3:10" ht="18" customHeight="1">
      <c r="C31" s="185">
        <f>+C30+1</f>
        <v>23</v>
      </c>
      <c r="D31" s="186" t="s">
        <v>522</v>
      </c>
      <c r="E31" s="430">
        <f>'Allowed revenue'!G48</f>
        <v>251.99796044930216</v>
      </c>
      <c r="F31" s="430"/>
      <c r="G31" s="430"/>
      <c r="H31" s="430"/>
      <c r="I31" s="438"/>
      <c r="J31" s="443"/>
    </row>
    <row r="32" spans="3:10" ht="18" customHeight="1" thickBot="1">
      <c r="C32" s="187">
        <f>+C31+1</f>
        <v>24</v>
      </c>
      <c r="D32" s="188" t="s">
        <v>331</v>
      </c>
      <c r="E32" s="434">
        <f>E30/E31-1</f>
        <v>0.0045330704814730005</v>
      </c>
      <c r="F32" s="434">
        <f>F30/E30-1</f>
        <v>0.03950228725652605</v>
      </c>
      <c r="G32" s="434">
        <f>G30/F30-1</f>
        <v>0.00029537854453542955</v>
      </c>
      <c r="H32" s="434">
        <f>H30/G30-1</f>
        <v>0.010758660106354068</v>
      </c>
      <c r="I32" s="440">
        <f>I30/H30-1</f>
        <v>0.004718676162471125</v>
      </c>
      <c r="J32" s="445">
        <f>CHOOSE(Input!$B$196,'Breakdown output all DNs'!G7,'Breakdown output all DNs'!G8,'Breakdown output all DNs'!G9,'Breakdown output all DNs'!G10,'Breakdown output all DNs'!G11,'Breakdown output all DNs'!G12,'Breakdown output all DNs'!G13,'Breakdown output all DNs'!G14)</f>
        <v>0.013840872396814419</v>
      </c>
    </row>
    <row r="33" spans="4:9" ht="14.25">
      <c r="D33" s="63" t="s">
        <v>328</v>
      </c>
      <c r="E33" s="189" t="str">
        <f>+IF(ABS(E30-'Allowed revenue'!H48)&lt;0.1,"ok!","oh no!")</f>
        <v>ok!</v>
      </c>
      <c r="F33" s="189" t="str">
        <f>+IF(ABS(F30-'Allowed revenue'!I48)&lt;0.1,"ok!","oh no!")</f>
        <v>ok!</v>
      </c>
      <c r="G33" s="189" t="str">
        <f>+IF(ABS(G30-'Allowed revenue'!J48)&lt;0.1,"ok!","oh no!")</f>
        <v>ok!</v>
      </c>
      <c r="H33" s="189" t="str">
        <f>+IF(ABS(H30-'Allowed revenue'!K48)&lt;0.1,"ok!","oh no!")</f>
        <v>ok!</v>
      </c>
      <c r="I33" s="189" t="str">
        <f>+IF(ABS(I30-'Allowed revenue'!L48)&lt;0.1,"ok!","oh no!")</f>
        <v>ok!</v>
      </c>
    </row>
    <row r="35" ht="14.25">
      <c r="C35" s="63" t="s">
        <v>334</v>
      </c>
    </row>
  </sheetData>
  <printOptions/>
  <pageMargins left="0.75" right="0.75" top="1" bottom="1" header="0.5" footer="0.5"/>
  <pageSetup fitToHeight="1" fitToWidth="1" horizontalDpi="600" verticalDpi="600" orientation="landscape" paperSize="9" scale="78" r:id="rId2"/>
  <legacyDrawing r:id="rId1"/>
</worksheet>
</file>

<file path=xl/worksheets/sheet31.xml><?xml version="1.0" encoding="utf-8"?>
<worksheet xmlns="http://schemas.openxmlformats.org/spreadsheetml/2006/main" xmlns:r="http://schemas.openxmlformats.org/officeDocument/2006/relationships">
  <sheetPr codeName="Sheet34"/>
  <dimension ref="A1:IP79"/>
  <sheetViews>
    <sheetView zoomScale="60" zoomScaleNormal="60" workbookViewId="0" topLeftCell="A1">
      <selection activeCell="B6" sqref="B6:H23"/>
    </sheetView>
  </sheetViews>
  <sheetFormatPr defaultColWidth="9.00390625" defaultRowHeight="15"/>
  <cols>
    <col min="1" max="1" width="3.125" style="129" customWidth="1"/>
    <col min="2" max="2" width="72.375" style="129" customWidth="1"/>
    <col min="3" max="3" width="10.375" style="129" customWidth="1"/>
    <col min="4" max="7" width="9.375" style="129" customWidth="1"/>
    <col min="8" max="8" width="11.625" style="129" customWidth="1"/>
    <col min="9" max="9" width="39.625" style="129" customWidth="1"/>
    <col min="10" max="10" width="8.50390625" style="129" customWidth="1"/>
    <col min="11" max="15" width="7.50390625" style="129" customWidth="1"/>
    <col min="16" max="16" width="8.875" style="129" customWidth="1"/>
    <col min="17" max="16384" width="9.00390625" style="129" customWidth="1"/>
  </cols>
  <sheetData>
    <row r="1" spans="1:11" s="63" customFormat="1" ht="18">
      <c r="A1" s="266" t="str">
        <f>B6</f>
        <v>Wales &amp; West</v>
      </c>
      <c r="C1" s="420"/>
      <c r="K1" s="265"/>
    </row>
    <row r="2" spans="2:11" s="63" customFormat="1" ht="18">
      <c r="B2" s="266" t="s">
        <v>610</v>
      </c>
      <c r="K2" s="265"/>
    </row>
    <row r="3" s="63" customFormat="1" ht="14.25">
      <c r="K3" s="265"/>
    </row>
    <row r="4" spans="2:15" s="63" customFormat="1" ht="14.25">
      <c r="B4" s="267" t="s">
        <v>204</v>
      </c>
      <c r="C4" s="151">
        <f>'Allowed revenue'!G56</f>
        <v>251.99796044930216</v>
      </c>
      <c r="D4" s="268"/>
      <c r="E4" s="269"/>
      <c r="F4" s="269"/>
      <c r="G4" s="269"/>
      <c r="H4" s="269"/>
      <c r="I4" s="129"/>
      <c r="J4" s="129"/>
      <c r="K4" s="265"/>
      <c r="L4" s="129"/>
      <c r="M4" s="129"/>
      <c r="N4" s="129"/>
      <c r="O4" s="129"/>
    </row>
    <row r="5" spans="2:11" ht="14.25">
      <c r="B5" s="270"/>
      <c r="C5" s="67"/>
      <c r="D5" s="271"/>
      <c r="E5" s="271"/>
      <c r="F5" s="271"/>
      <c r="G5" s="271"/>
      <c r="H5" s="272"/>
      <c r="K5" s="265"/>
    </row>
    <row r="6" spans="2:15" s="273" customFormat="1" ht="14.25">
      <c r="B6" s="274" t="str">
        <f>Input!A1</f>
        <v>Wales &amp; West</v>
      </c>
      <c r="C6" s="275"/>
      <c r="D6" s="275"/>
      <c r="E6" s="275"/>
      <c r="F6" s="275"/>
      <c r="G6" s="276"/>
      <c r="H6" s="277"/>
      <c r="I6" s="202"/>
      <c r="J6" s="278"/>
      <c r="K6" s="278"/>
      <c r="L6" s="278"/>
      <c r="M6" s="278"/>
      <c r="N6" s="278"/>
      <c r="O6" s="279"/>
    </row>
    <row r="7" spans="2:15" s="63" customFormat="1" ht="14.25">
      <c r="B7" s="280" t="str">
        <f>CHOOSE('Allowed revenue'!B73,'Allowed revenue'!C68,'Allowed revenue'!C69,'Allowed revenue'!C70,'Allowed revenue'!C71,'Allowed revenue'!C72)</f>
        <v>No profiling</v>
      </c>
      <c r="C7" s="278" t="s">
        <v>92</v>
      </c>
      <c r="D7" s="278" t="s">
        <v>93</v>
      </c>
      <c r="E7" s="278" t="s">
        <v>94</v>
      </c>
      <c r="F7" s="278" t="s">
        <v>95</v>
      </c>
      <c r="G7" s="281" t="s">
        <v>131</v>
      </c>
      <c r="H7" s="282"/>
      <c r="I7" s="282"/>
      <c r="J7" s="151"/>
      <c r="K7" s="151"/>
      <c r="L7" s="151"/>
      <c r="M7" s="151"/>
      <c r="N7" s="151"/>
      <c r="O7" s="151"/>
    </row>
    <row r="8" spans="2:15" s="63" customFormat="1" ht="14.25">
      <c r="B8" s="159" t="s">
        <v>372</v>
      </c>
      <c r="C8" s="265">
        <f>('Allowed revenue'!H21-'Allowed revenue'!G21)/'Allowed revenue'!G55</f>
        <v>-0.017894276092161914</v>
      </c>
      <c r="D8" s="265">
        <f>('Allowed revenue'!I21-'Allowed revenue'!H21)/'Allowed revenue'!H55</f>
        <v>0.0003562144705039543</v>
      </c>
      <c r="E8" s="265">
        <f>('Allowed revenue'!J21-'Allowed revenue'!I21)/'Allowed revenue'!I55</f>
        <v>-0.008516186119394954</v>
      </c>
      <c r="F8" s="265">
        <f>('Allowed revenue'!K21-'Allowed revenue'!J21)/'Allowed revenue'!J55</f>
        <v>-0.006227786027492592</v>
      </c>
      <c r="G8" s="283">
        <f>('Allowed revenue'!L21-'Allowed revenue'!K21)/'Allowed revenue'!K55</f>
        <v>-0.00646375294904535</v>
      </c>
      <c r="H8" s="404"/>
      <c r="I8" s="282"/>
      <c r="J8" s="151"/>
      <c r="K8" s="151"/>
      <c r="L8" s="151"/>
      <c r="M8" s="151"/>
      <c r="N8" s="151"/>
      <c r="O8" s="151"/>
    </row>
    <row r="9" spans="2:15" s="63" customFormat="1" ht="14.25">
      <c r="B9" s="159" t="s">
        <v>436</v>
      </c>
      <c r="C9" s="160">
        <f>('Allowed revenue'!H23+'Allowed revenue'!H42+'Allowed revenue'!H43-'Allowed revenue'!G23-'Allowed revenue'!G42-'Allowed revenue'!G43)/'Allowed revenue'!G55</f>
        <v>-0.0007709174811122968</v>
      </c>
      <c r="D9" s="160">
        <f>('Allowed revenue'!I23+'Allowed revenue'!I42+'Allowed revenue'!I43-'Allowed revenue'!H23-'Allowed revenue'!H42-'Allowed revenue'!H43)/'Allowed revenue'!H55</f>
        <v>-0.000748720612412301</v>
      </c>
      <c r="E9" s="160">
        <f>('Allowed revenue'!J23+'Allowed revenue'!J42+'Allowed revenue'!J43-'Allowed revenue'!I23-'Allowed revenue'!I42-'Allowed revenue'!I43)/'Allowed revenue'!I55</f>
        <v>-0.0007027008434860059</v>
      </c>
      <c r="F9" s="160">
        <f>('Allowed revenue'!K23+'Allowed revenue'!K42+'Allowed revenue'!K43-'Allowed revenue'!J23-'Allowed revenue'!J42-'Allowed revenue'!J43)/'Allowed revenue'!J55</f>
        <v>-0.0006853593580732608</v>
      </c>
      <c r="G9" s="284">
        <f>('Allowed revenue'!L23+'Allowed revenue'!L42+'Allowed revenue'!L43-'Allowed revenue'!K23-'Allowed revenue'!K42-'Allowed revenue'!K43)/'Allowed revenue'!K55</f>
        <v>-0.0006615261412637066</v>
      </c>
      <c r="H9" s="404"/>
      <c r="I9" s="285"/>
      <c r="J9" s="151"/>
      <c r="K9" s="151"/>
      <c r="L9" s="151"/>
      <c r="M9" s="151"/>
      <c r="N9" s="151"/>
      <c r="O9" s="151"/>
    </row>
    <row r="10" spans="1:15" s="63" customFormat="1" ht="14.25">
      <c r="A10" s="71"/>
      <c r="B10" s="159" t="s">
        <v>11</v>
      </c>
      <c r="C10" s="160">
        <f>((Input!H$218*('IQI calculation'!H36/100))/(-Input!H$80-Input!H$81))*('Breakdown by DN'!C26+'Breakdown by DN'!C27)</f>
        <v>0.02640228539928632</v>
      </c>
      <c r="D10" s="160">
        <f>((Input!I$218*('IQI calculation'!I36/100))/(-Input!I$80-Input!I$81))*('Breakdown by DN'!D26+'Breakdown by DN'!D27)</f>
        <v>0.021800857444662043</v>
      </c>
      <c r="E10" s="160">
        <f>((Input!J$218*('IQI calculation'!J36/100))/(-Input!J$80-Input!J$81))*('Breakdown by DN'!E26+'Breakdown by DN'!E27)</f>
        <v>-0.0017723258949292771</v>
      </c>
      <c r="F10" s="160">
        <f>((Input!K$218*('IQI calculation'!K36/100))/(-Input!K$80-Input!K$81))*('Breakdown by DN'!F26+'Breakdown by DN'!F27)</f>
        <v>0.0045418143062617745</v>
      </c>
      <c r="G10" s="284">
        <f>((Input!L$218*('IQI calculation'!L36/100))/(-Input!L$80-Input!L$81))*('Breakdown by DN'!G26+'Breakdown by DN'!G27)</f>
        <v>0.0017003528798498467</v>
      </c>
      <c r="H10" s="500"/>
      <c r="I10" s="501"/>
      <c r="J10" s="151"/>
      <c r="K10" s="151"/>
      <c r="L10" s="151"/>
      <c r="M10" s="151"/>
      <c r="N10" s="151"/>
      <c r="O10" s="151"/>
    </row>
    <row r="11" spans="1:15" s="63" customFormat="1" ht="14.25">
      <c r="A11" s="71"/>
      <c r="B11" s="159" t="s">
        <v>665</v>
      </c>
      <c r="C11" s="160">
        <f>((Input!H$219*('IQI calculation'!H36/100)+Input!H$220)/(-Input!H$80-Input!H$81))*('Breakdown by DN'!C26+'Breakdown by DN'!C27)+C28+(('Allowed revenue'!H40+'Allowed revenue'!H41-'Allowed revenue'!G40-'Allowed revenue'!G41)/'Allowed revenue'!G55)</f>
        <v>0.00881908733094586</v>
      </c>
      <c r="D11" s="160">
        <f>((Input!I$219*('IQI calculation'!I36/100)+Input!I$220)/(-Input!I$80-Input!I$81))*('Breakdown by DN'!D26+'Breakdown by DN'!D27)+D28+(('Allowed revenue'!I40+'Allowed revenue'!I41-'Allowed revenue'!H40-'Allowed revenue'!H41)/'Allowed revenue'!H55)</f>
        <v>0.013403328778325943</v>
      </c>
      <c r="E11" s="160">
        <f>((Input!J$219*('IQI calculation'!J36/100)+Input!J$220)/(-Input!J$80-Input!J$81))*('Breakdown by DN'!E26+'Breakdown by DN'!E27)+E28+(('Allowed revenue'!J40+'Allowed revenue'!J41-'Allowed revenue'!I40-'Allowed revenue'!I41)/'Allowed revenue'!I55)</f>
        <v>0.0071991191058483825</v>
      </c>
      <c r="F11" s="160">
        <f>((Input!K$219*('IQI calculation'!K36/100)+Input!K$220)/(-Input!K$80-Input!K$81))*('Breakdown by DN'!F26+'Breakdown by DN'!F27)+F28+(('Allowed revenue'!K40+'Allowed revenue'!K41-'Allowed revenue'!J40-'Allowed revenue'!J41)/'Allowed revenue'!J55)</f>
        <v>0.006741099946175348</v>
      </c>
      <c r="G11" s="284">
        <f>((Input!L$219*('IQI calculation'!L36/100)+Input!L$220)/(-Input!L$80-Input!L$81))*('Breakdown by DN'!G26+'Breakdown by DN'!G27)+G28+(('Allowed revenue'!L40+'Allowed revenue'!L41-'Allowed revenue'!K40-'Allowed revenue'!K41)/'Allowed revenue'!K55)</f>
        <v>0.0059615922860015635</v>
      </c>
      <c r="H11" s="199"/>
      <c r="I11" s="282"/>
      <c r="J11" s="151"/>
      <c r="K11" s="151"/>
      <c r="L11" s="151"/>
      <c r="M11" s="151"/>
      <c r="N11" s="151"/>
      <c r="O11" s="151"/>
    </row>
    <row r="12" spans="2:15" s="63" customFormat="1" ht="14.25">
      <c r="B12" s="159" t="s">
        <v>373</v>
      </c>
      <c r="C12" s="160">
        <f>('Allowed revenue'!H25-'Allowed revenue'!G25)/'Allowed revenue'!G55</f>
        <v>0.006431476389174348</v>
      </c>
      <c r="D12" s="160">
        <f>('Allowed revenue'!I25-'Allowed revenue'!H25)/'Allowed revenue'!H55</f>
        <v>0.0049987436833405265</v>
      </c>
      <c r="E12" s="160">
        <f>('Allowed revenue'!J25-'Allowed revenue'!I25)/'Allowed revenue'!I55</f>
        <v>0.004126652021163449</v>
      </c>
      <c r="F12" s="160">
        <f>('Allowed revenue'!K25-'Allowed revenue'!J25)/'Allowed revenue'!J55</f>
        <v>0.006376362383039925</v>
      </c>
      <c r="G12" s="284">
        <f>('Allowed revenue'!L25-'Allowed revenue'!K25)/'Allowed revenue'!K55</f>
        <v>0.00418592147114234</v>
      </c>
      <c r="H12" s="405"/>
      <c r="I12" s="285"/>
      <c r="J12" s="151"/>
      <c r="K12" s="151"/>
      <c r="L12" s="151"/>
      <c r="M12" s="151"/>
      <c r="N12" s="151"/>
      <c r="O12" s="151"/>
    </row>
    <row r="13" spans="2:15" s="63" customFormat="1" ht="14.25">
      <c r="B13" s="159" t="s">
        <v>496</v>
      </c>
      <c r="C13" s="160">
        <f>('Allowed revenue'!H26-'Allowed revenue'!G26)/'Allowed revenue'!G55</f>
        <v>0.0006257332951087013</v>
      </c>
      <c r="D13" s="160">
        <f>('Allowed revenue'!I26-'Allowed revenue'!H26)/'Allowed revenue'!H55</f>
        <v>3.992919939069928E-05</v>
      </c>
      <c r="E13" s="160">
        <f>('Allowed revenue'!J26-'Allowed revenue'!I26)/'Allowed revenue'!I55</f>
        <v>-3.917972466509442E-05</v>
      </c>
      <c r="F13" s="160">
        <f>('Allowed revenue'!K26-'Allowed revenue'!J26)/'Allowed revenue'!J55</f>
        <v>1.2528856443596256E-05</v>
      </c>
      <c r="G13" s="284">
        <f>('Allowed revenue'!L26-'Allowed revenue'!K26)/'Allowed revenue'!K55</f>
        <v>-3.9113842132471275E-06</v>
      </c>
      <c r="H13" s="405"/>
      <c r="I13" s="285"/>
      <c r="J13" s="151"/>
      <c r="K13" s="151"/>
      <c r="L13" s="151"/>
      <c r="M13" s="151"/>
      <c r="N13" s="151"/>
      <c r="O13" s="151"/>
    </row>
    <row r="14" spans="2:8" s="63" customFormat="1" ht="14.25">
      <c r="B14" s="286" t="s">
        <v>770</v>
      </c>
      <c r="C14" s="287">
        <f>SUM(C8:C13)</f>
        <v>0.02361338884124102</v>
      </c>
      <c r="D14" s="287">
        <f>SUM(D8:D13)</f>
        <v>0.03985035296381086</v>
      </c>
      <c r="E14" s="287">
        <f>SUM(E8:E13)</f>
        <v>0.00029537854453650107</v>
      </c>
      <c r="F14" s="287">
        <f>SUM(F8:F13)</f>
        <v>0.010758660106354791</v>
      </c>
      <c r="G14" s="288">
        <f>SUM(G8:G13)</f>
        <v>0.0047186761624714475</v>
      </c>
      <c r="H14" s="405"/>
    </row>
    <row r="15" spans="2:8" s="63" customFormat="1" ht="14.25">
      <c r="B15" s="97" t="s">
        <v>435</v>
      </c>
      <c r="C15" s="160">
        <f>('Allowed revenue'!H28+'Allowed revenue'!H44-'Allowed revenue'!G28-'Allowed revenue'!G44)/'Allowed revenue'!G55</f>
        <v>0</v>
      </c>
      <c r="D15" s="160">
        <f>('Allowed revenue'!I28+'Allowed revenue'!I44-'Allowed revenue'!H28-'Allowed revenue'!H44)/'Allowed revenue'!H55</f>
        <v>0</v>
      </c>
      <c r="E15" s="160">
        <f>('Allowed revenue'!J28+'Allowed revenue'!J44-'Allowed revenue'!I28-'Allowed revenue'!I44)/'Allowed revenue'!I55</f>
        <v>0</v>
      </c>
      <c r="F15" s="160">
        <f>('Allowed revenue'!K28+'Allowed revenue'!K44-'Allowed revenue'!J28-'Allowed revenue'!J44)/'Allowed revenue'!J55</f>
        <v>0</v>
      </c>
      <c r="G15" s="284">
        <f>('Allowed revenue'!L28+'Allowed revenue'!L44-'Allowed revenue'!K28-'Allowed revenue'!K44)/'Allowed revenue'!K55</f>
        <v>0</v>
      </c>
      <c r="H15" s="405"/>
    </row>
    <row r="16" spans="2:15" s="63" customFormat="1" ht="14.25">
      <c r="B16" s="97" t="s">
        <v>682</v>
      </c>
      <c r="C16" s="265">
        <f>(('Allowed revenue'!H36)-('Allowed revenue'!H32-('Allowed revenue'!H33*'Allowed revenue'!G14))/'Allowed revenue'!G13)/'Allowed revenue'!G55+(+'Allowed revenue'!H40+'Allowed revenue'!H41-'Allowed revenue'!G40-'Allowed revenue'!G41)/'Allowed revenue'!G55</f>
        <v>-0.019080318359768037</v>
      </c>
      <c r="D16" s="265">
        <f>(('Allowed revenue'!I36)-('Allowed revenue'!I32-('Allowed revenue'!I33*'Allowed revenue'!H14))/'Allowed revenue'!H13)/'Allowed revenue'!H55+(+'Allowed revenue'!I40+'Allowed revenue'!I41-'Allowed revenue'!H40-'Allowed revenue'!H41)/'Allowed revenue'!H55</f>
        <v>-0.0003480657072859348</v>
      </c>
      <c r="E16" s="265">
        <f>(('Allowed revenue'!J36)-('Allowed revenue'!J32-('Allowed revenue'!J33*'Allowed revenue'!I14))/'Allowed revenue'!I13)/'Allowed revenue'!I55+(+'Allowed revenue'!J40+'Allowed revenue'!J41-'Allowed revenue'!I40-'Allowed revenue'!I41)/'Allowed revenue'!I55</f>
        <v>0</v>
      </c>
      <c r="F16" s="265">
        <f>(('Allowed revenue'!K36)-('Allowed revenue'!K32-('Allowed revenue'!K33*'Allowed revenue'!J14))/'Allowed revenue'!J13)/'Allowed revenue'!J55+(+'Allowed revenue'!K40+'Allowed revenue'!K41-'Allowed revenue'!J40-'Allowed revenue'!J41)/'Allowed revenue'!J55</f>
        <v>0</v>
      </c>
      <c r="G16" s="283">
        <f>(('Allowed revenue'!L36)-('Allowed revenue'!L32-('Allowed revenue'!L33*'Allowed revenue'!K14))/'Allowed revenue'!K13)/'Allowed revenue'!K55+(+'Allowed revenue'!L40+'Allowed revenue'!L41-'Allowed revenue'!K40-'Allowed revenue'!K41)/'Allowed revenue'!K55</f>
        <v>0</v>
      </c>
      <c r="H16" s="405"/>
      <c r="I16" s="289"/>
      <c r="J16" s="289"/>
      <c r="K16" s="151"/>
      <c r="L16" s="290"/>
      <c r="M16" s="151"/>
      <c r="N16" s="151"/>
      <c r="O16" s="70"/>
    </row>
    <row r="17" spans="2:15" s="63" customFormat="1" ht="14.25">
      <c r="B17" s="286" t="s">
        <v>680</v>
      </c>
      <c r="C17" s="291">
        <f>SUM(C14:C16)</f>
        <v>0.004533070481472983</v>
      </c>
      <c r="D17" s="291">
        <f>SUM(D14:D16)</f>
        <v>0.03950228725652493</v>
      </c>
      <c r="E17" s="291">
        <f>SUM(E14:E16)</f>
        <v>0.00029537854453650107</v>
      </c>
      <c r="F17" s="291">
        <f>SUM(F14:F16)</f>
        <v>0.010758660106354791</v>
      </c>
      <c r="G17" s="292">
        <f>SUM(G14:G16)</f>
        <v>0.0047186761624714475</v>
      </c>
      <c r="H17" s="405"/>
      <c r="I17" s="289"/>
      <c r="J17" s="289"/>
      <c r="K17" s="151"/>
      <c r="L17" s="151"/>
      <c r="M17" s="151"/>
      <c r="N17" s="151"/>
      <c r="O17" s="70"/>
    </row>
    <row r="18" spans="2:15" s="63" customFormat="1" ht="14.25">
      <c r="B18" s="159" t="s">
        <v>597</v>
      </c>
      <c r="C18" s="160">
        <f>(('Allowed revenue'!H56-'Allowed revenue'!H55)-('Allowed revenue'!G56-'Allowed revenue'!G55))/'Allowed revenue'!G55</f>
        <v>0</v>
      </c>
      <c r="D18" s="160">
        <f>(('Allowed revenue'!I56-'Allowed revenue'!I55)-('Allowed revenue'!H56-'Allowed revenue'!H55))/'Allowed revenue'!H55</f>
        <v>0</v>
      </c>
      <c r="E18" s="160">
        <f>(('Allowed revenue'!J56-'Allowed revenue'!J55)-('Allowed revenue'!I56-'Allowed revenue'!I55))/'Allowed revenue'!I55</f>
        <v>0</v>
      </c>
      <c r="F18" s="160">
        <f>(('Allowed revenue'!K56-'Allowed revenue'!K55)-('Allowed revenue'!J56-'Allowed revenue'!J55))/'Allowed revenue'!J55</f>
        <v>0</v>
      </c>
      <c r="G18" s="284">
        <f>(('Allowed revenue'!L56-'Allowed revenue'!L55)-('Allowed revenue'!K56-'Allowed revenue'!K55))/'Allowed revenue'!K55</f>
        <v>0</v>
      </c>
      <c r="H18" s="405"/>
      <c r="I18" s="289"/>
      <c r="J18" s="289"/>
      <c r="K18" s="151"/>
      <c r="L18" s="290"/>
      <c r="M18" s="151"/>
      <c r="N18" s="151"/>
      <c r="O18" s="70"/>
    </row>
    <row r="19" spans="2:15" s="63" customFormat="1" ht="14.25">
      <c r="B19" s="286" t="s">
        <v>681</v>
      </c>
      <c r="C19" s="287">
        <f>+SUM(C17:C18)</f>
        <v>0.004533070481472983</v>
      </c>
      <c r="D19" s="287">
        <f>+SUM(D17:D18)</f>
        <v>0.03950228725652493</v>
      </c>
      <c r="E19" s="287">
        <f>+SUM(E17:E18)</f>
        <v>0.00029537854453650107</v>
      </c>
      <c r="F19" s="287">
        <f>+SUM(F17:F18)</f>
        <v>0.010758660106354791</v>
      </c>
      <c r="G19" s="288">
        <f>+SUM(G17:G18)</f>
        <v>0.0047186761624714475</v>
      </c>
      <c r="H19" s="406"/>
      <c r="I19" s="289"/>
      <c r="J19" s="289"/>
      <c r="K19" s="70"/>
      <c r="L19" s="70"/>
      <c r="M19" s="70"/>
      <c r="N19" s="70"/>
      <c r="O19" s="70"/>
    </row>
    <row r="20" spans="2:15" s="63" customFormat="1" ht="14.25">
      <c r="B20" s="97" t="s">
        <v>301</v>
      </c>
      <c r="C20" s="293">
        <f>C19-C9</f>
        <v>0.00530398796258528</v>
      </c>
      <c r="D20" s="293">
        <f>D19-D9</f>
        <v>0.04025100786893723</v>
      </c>
      <c r="E20" s="293">
        <f>E19-E9</f>
        <v>0.000998079388022507</v>
      </c>
      <c r="F20" s="293">
        <f>F19-F9</f>
        <v>0.011444019464428051</v>
      </c>
      <c r="G20" s="294">
        <f>G19-G9</f>
        <v>0.005380202303735154</v>
      </c>
      <c r="H20" s="405"/>
      <c r="K20" s="151"/>
      <c r="L20" s="151"/>
      <c r="M20" s="151"/>
      <c r="N20" s="151"/>
      <c r="O20" s="70"/>
    </row>
    <row r="21" spans="2:15" s="63" customFormat="1" ht="14.25">
      <c r="B21" s="97"/>
      <c r="C21" s="160"/>
      <c r="D21" s="295"/>
      <c r="E21" s="295"/>
      <c r="F21" s="295"/>
      <c r="G21" s="296"/>
      <c r="H21" s="405"/>
      <c r="K21" s="151"/>
      <c r="L21" s="151"/>
      <c r="M21" s="151"/>
      <c r="N21" s="151"/>
      <c r="O21" s="70"/>
    </row>
    <row r="22" spans="2:15" s="63" customFormat="1" ht="14.25">
      <c r="B22" s="97" t="s">
        <v>679</v>
      </c>
      <c r="C22" s="151">
        <f>'Allowed revenue'!H56</f>
        <v>253.14028496520626</v>
      </c>
      <c r="D22" s="151">
        <f>'Allowed revenue'!I56</f>
        <v>263.1399052181004</v>
      </c>
      <c r="E22" s="151">
        <f>'Allowed revenue'!J56</f>
        <v>263.2176311003132</v>
      </c>
      <c r="F22" s="151">
        <f>'Allowed revenue'!K56</f>
        <v>266.0495001273214</v>
      </c>
      <c r="G22" s="297">
        <f>'Allowed revenue'!L56</f>
        <v>267.3049015616096</v>
      </c>
      <c r="H22" s="405"/>
      <c r="K22" s="151"/>
      <c r="L22" s="151"/>
      <c r="M22" s="151"/>
      <c r="N22" s="151"/>
      <c r="O22" s="70"/>
    </row>
    <row r="23" spans="2:234" s="63" customFormat="1" ht="14.25">
      <c r="B23" s="99" t="s">
        <v>486</v>
      </c>
      <c r="C23" s="298" t="str">
        <f>IF(ABS((C22/C4)-(C19+1))&lt;0.001%,"ok","oh no!")</f>
        <v>ok</v>
      </c>
      <c r="D23" s="298" t="str">
        <f>IF(ABS((D22/C22)-(D19+1))&lt;0.001%,"ok","oh no!")</f>
        <v>ok</v>
      </c>
      <c r="E23" s="298" t="str">
        <f>IF(ABS((E22/D22)-(E19+1))&lt;0.001%,"ok","oh no!")</f>
        <v>ok</v>
      </c>
      <c r="F23" s="298" t="str">
        <f>IF(ABS((F22/E22)-(F19+1))&lt;0.001%,"ok","oh no!")</f>
        <v>ok</v>
      </c>
      <c r="G23" s="299" t="str">
        <f>IF(ABS((G22/F22)-(G19+1))&lt;0.001%,"ok","oh no!")</f>
        <v>ok</v>
      </c>
      <c r="H23" s="407"/>
      <c r="I23" s="300"/>
      <c r="J23" s="300"/>
      <c r="K23" s="300"/>
      <c r="L23" s="300"/>
      <c r="M23" s="300"/>
      <c r="N23" s="300"/>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row>
    <row r="24" spans="1:250" s="63" customFormat="1" ht="14.25">
      <c r="A24" s="129"/>
      <c r="B24" s="98"/>
      <c r="C24" s="302"/>
      <c r="D24" s="302"/>
      <c r="E24" s="302"/>
      <c r="F24" s="302"/>
      <c r="G24" s="302"/>
      <c r="H24" s="295"/>
      <c r="I24" s="295"/>
      <c r="J24" s="295"/>
      <c r="K24" s="295"/>
      <c r="L24" s="295"/>
      <c r="M24" s="295"/>
      <c r="N24" s="295"/>
      <c r="O24" s="303"/>
      <c r="R24" s="303"/>
      <c r="S24" s="304"/>
      <c r="T24" s="304"/>
      <c r="U24" s="305"/>
      <c r="V24" s="305"/>
      <c r="W24" s="305"/>
      <c r="X24" s="305"/>
      <c r="Y24" s="306"/>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row>
    <row r="25" spans="1:250" s="63" customFormat="1" ht="14.25">
      <c r="A25" s="129"/>
      <c r="B25" s="98"/>
      <c r="C25" s="295"/>
      <c r="D25" s="295"/>
      <c r="E25" s="295"/>
      <c r="F25" s="295"/>
      <c r="G25" s="295"/>
      <c r="H25" s="419"/>
      <c r="I25" s="295"/>
      <c r="J25" s="295"/>
      <c r="K25" s="295"/>
      <c r="L25" s="295"/>
      <c r="M25" s="295"/>
      <c r="N25" s="295"/>
      <c r="O25" s="303"/>
      <c r="R25" s="303"/>
      <c r="S25" s="304"/>
      <c r="T25" s="304"/>
      <c r="U25" s="305"/>
      <c r="V25" s="305"/>
      <c r="W25" s="305"/>
      <c r="X25" s="305"/>
      <c r="Y25" s="306"/>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row>
    <row r="26" spans="1:250" s="63" customFormat="1" ht="14.25">
      <c r="A26" s="129"/>
      <c r="B26" s="63" t="s">
        <v>663</v>
      </c>
      <c r="C26" s="309">
        <f>('Allowed revenue'!H22-'Allowed revenue'!G22)/'Allowed revenue'!G55</f>
        <v>0.024344486277695483</v>
      </c>
      <c r="D26" s="309">
        <f>('Allowed revenue'!I22-'Allowed revenue'!H22)/'Allowed revenue'!H55</f>
        <v>0.020778758233267674</v>
      </c>
      <c r="E26" s="309">
        <f>('Allowed revenue'!J22-'Allowed revenue'!I22)/'Allowed revenue'!I55</f>
        <v>-0.007930446709953127</v>
      </c>
      <c r="F26" s="309">
        <f>('Allowed revenue'!K22-'Allowed revenue'!J22)/'Allowed revenue'!J55</f>
        <v>0.00025393003789953055</v>
      </c>
      <c r="G26" s="309">
        <f>('Allowed revenue'!L22-'Allowed revenue'!K22)/'Allowed revenue'!K55</f>
        <v>-0.002861165427105911</v>
      </c>
      <c r="H26" s="295"/>
      <c r="I26" s="295"/>
      <c r="J26" s="295"/>
      <c r="K26" s="295"/>
      <c r="L26" s="295"/>
      <c r="M26" s="295"/>
      <c r="N26" s="295"/>
      <c r="O26" s="303"/>
      <c r="R26" s="303"/>
      <c r="S26" s="304"/>
      <c r="T26" s="304"/>
      <c r="U26" s="305"/>
      <c r="V26" s="305"/>
      <c r="W26" s="305"/>
      <c r="X26" s="305"/>
      <c r="Y26" s="306"/>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row>
    <row r="27" spans="1:250" s="63" customFormat="1" ht="14.25">
      <c r="A27" s="129"/>
      <c r="B27" s="63" t="s">
        <v>664</v>
      </c>
      <c r="C27" s="309">
        <f>(-Input!H$81/'IQI calculation'!H41)*((('Allowed revenue'!H24-'Allowed revenue'!G24)/'Allowed revenue'!G55)+(('Allowed revenue'!H36-'Allowed revenue'!G36)/'Allowed revenue'!G55)-C16)</f>
        <v>0.003935521542897038</v>
      </c>
      <c r="D27" s="309">
        <f>(-Input!I$81/'IQI calculation'!I41)*((('Allowed revenue'!I24-'Allowed revenue'!H24)/'Allowed revenue'!H55)+(('Allowed revenue'!I36-'Allowed revenue'!H36)/'Allowed revenue'!H55)-D16)</f>
        <v>0.006015381166668556</v>
      </c>
      <c r="E27" s="309">
        <f>(-Input!J$81/'IQI calculation'!J41)*((('Allowed revenue'!J24-'Allowed revenue'!I24)/'Allowed revenue'!I55)+(('Allowed revenue'!J36-'Allowed revenue'!I36)/'Allowed revenue'!I55)-E16)</f>
        <v>0.005914755892121322</v>
      </c>
      <c r="F27" s="309">
        <f>(-Input!K$81/'IQI calculation'!K41)*((('Allowed revenue'!K24-'Allowed revenue'!J24)/'Allowed revenue'!J55)+(('Allowed revenue'!K36-'Allowed revenue'!J36)/'Allowed revenue'!J55)-F16)</f>
        <v>0.004848845729650926</v>
      </c>
      <c r="G27" s="309">
        <f>(-Input!L$81/'IQI calculation'!L41)*((('Allowed revenue'!L24-'Allowed revenue'!K24)/'Allowed revenue'!K55)+(('Allowed revenue'!L36-'Allowed revenue'!K36)/'Allowed revenue'!K55)-G16)</f>
        <v>0.0047306288520553895</v>
      </c>
      <c r="H27" s="295"/>
      <c r="I27" s="295"/>
      <c r="J27" s="295"/>
      <c r="K27" s="295"/>
      <c r="L27" s="295"/>
      <c r="M27" s="295"/>
      <c r="N27" s="295"/>
      <c r="O27" s="303"/>
      <c r="R27" s="303"/>
      <c r="S27" s="304"/>
      <c r="T27" s="304"/>
      <c r="U27" s="305"/>
      <c r="V27" s="305"/>
      <c r="W27" s="305"/>
      <c r="X27" s="305"/>
      <c r="Y27" s="306"/>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row>
    <row r="28" spans="1:250" s="63" customFormat="1" ht="14.25">
      <c r="A28" s="129"/>
      <c r="B28" s="129" t="s">
        <v>662</v>
      </c>
      <c r="C28" s="265">
        <f>(('IQI calculation'!H41+Input!H$81)/'IQI calculation'!H41)*((('Allowed revenue'!H24-'Allowed revenue'!G24)/'Allowed revenue'!G55)+(('Allowed revenue'!H36-'Allowed revenue'!G36)/'Allowed revenue'!G55)-C16)</f>
        <v>0.006709064821926815</v>
      </c>
      <c r="D28" s="265">
        <f>(('IQI calculation'!I41+Input!I$81)/'IQI calculation'!I41)*((('Allowed revenue'!I24-'Allowed revenue'!H24)/'Allowed revenue'!H55)+(('Allowed revenue'!I36-'Allowed revenue'!H36)/'Allowed revenue'!H55)-D16)</f>
        <v>0.008758112530337692</v>
      </c>
      <c r="E28" s="265">
        <f>(('IQI calculation'!J41+Input!J$81)/'IQI calculation'!J41)*((('Allowed revenue'!J24-'Allowed revenue'!I24)/'Allowed revenue'!I55)+(('Allowed revenue'!J36-'Allowed revenue'!I36)/'Allowed revenue'!I55)-E16)</f>
        <v>0.00744248402875091</v>
      </c>
      <c r="F28" s="265">
        <f>(('IQI calculation'!K41+Input!K$81)/'IQI calculation'!K41)*((('Allowed revenue'!K24-'Allowed revenue'!J24)/'Allowed revenue'!J55)+(('Allowed revenue'!K36-'Allowed revenue'!J36)/'Allowed revenue'!J55)-F16)</f>
        <v>0.0061801384848866655</v>
      </c>
      <c r="G28" s="265">
        <f>(('IQI calculation'!L41+Input!L$81)/'IQI calculation'!L41)*((('Allowed revenue'!L24-'Allowed revenue'!K24)/'Allowed revenue'!K55)+(('Allowed revenue'!L36-'Allowed revenue'!K36)/'Allowed revenue'!K55)-G16)</f>
        <v>0.005792481740901931</v>
      </c>
      <c r="H28" s="295"/>
      <c r="I28" s="295"/>
      <c r="J28" s="295"/>
      <c r="K28" s="295"/>
      <c r="L28" s="295"/>
      <c r="M28" s="295"/>
      <c r="N28" s="295"/>
      <c r="O28" s="303"/>
      <c r="R28" s="303"/>
      <c r="S28" s="304"/>
      <c r="T28" s="304"/>
      <c r="U28" s="305"/>
      <c r="V28" s="305"/>
      <c r="W28" s="305"/>
      <c r="X28" s="305"/>
      <c r="Y28" s="306"/>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c r="CG28" s="301"/>
      <c r="CH28" s="301"/>
      <c r="CI28" s="301"/>
      <c r="CJ28" s="301"/>
      <c r="CK28" s="301"/>
      <c r="CL28" s="301"/>
      <c r="CM28" s="301"/>
      <c r="CN28" s="301"/>
      <c r="CO28" s="301"/>
      <c r="CP28" s="301"/>
      <c r="CQ28" s="301"/>
      <c r="CR28" s="301"/>
      <c r="CS28" s="301"/>
      <c r="CT28" s="301"/>
      <c r="CU28" s="301"/>
      <c r="CV28" s="301"/>
      <c r="CW28" s="301"/>
      <c r="CX28" s="301"/>
      <c r="CY28" s="301"/>
      <c r="CZ28" s="301"/>
      <c r="DA28" s="301"/>
      <c r="DB28" s="301"/>
      <c r="DC28" s="301"/>
      <c r="DD28" s="301"/>
      <c r="DE28" s="301"/>
      <c r="DF28" s="301"/>
      <c r="DG28" s="301"/>
      <c r="DH28" s="301"/>
      <c r="DI28" s="301"/>
      <c r="DJ28" s="301"/>
      <c r="DK28" s="301"/>
      <c r="DL28" s="301"/>
      <c r="DM28" s="301"/>
      <c r="DN28" s="301"/>
      <c r="DO28" s="301"/>
      <c r="DP28" s="301"/>
      <c r="DQ28" s="301"/>
      <c r="DR28" s="301"/>
      <c r="DS28" s="301"/>
      <c r="DT28" s="301"/>
      <c r="DU28" s="301"/>
      <c r="DV28" s="301"/>
      <c r="DW28" s="301"/>
      <c r="DX28" s="301"/>
      <c r="DY28" s="301"/>
      <c r="DZ28" s="301"/>
      <c r="EA28" s="301"/>
      <c r="EB28" s="301"/>
      <c r="EC28" s="301"/>
      <c r="ED28" s="301"/>
      <c r="EE28" s="301"/>
      <c r="EF28" s="301"/>
      <c r="EG28" s="301"/>
      <c r="EH28" s="301"/>
      <c r="EI28" s="301"/>
      <c r="EJ28" s="301"/>
      <c r="EK28" s="301"/>
      <c r="EL28" s="301"/>
      <c r="EM28" s="301"/>
      <c r="EN28" s="301"/>
      <c r="EO28" s="301"/>
      <c r="EP28" s="301"/>
      <c r="EQ28" s="301"/>
      <c r="ER28" s="301"/>
      <c r="ES28" s="301"/>
      <c r="ET28" s="301"/>
      <c r="EU28" s="301"/>
      <c r="EV28" s="301"/>
      <c r="EW28" s="301"/>
      <c r="EX28" s="301"/>
      <c r="EY28" s="301"/>
      <c r="EZ28" s="301"/>
      <c r="FA28" s="301"/>
      <c r="FB28" s="301"/>
      <c r="FC28" s="301"/>
      <c r="FD28" s="301"/>
      <c r="FE28" s="301"/>
      <c r="FF28" s="301"/>
      <c r="FG28" s="301"/>
      <c r="FH28" s="301"/>
      <c r="FI28" s="301"/>
      <c r="FJ28" s="301"/>
      <c r="FK28" s="301"/>
      <c r="FL28" s="301"/>
      <c r="FM28" s="301"/>
      <c r="FN28" s="301"/>
      <c r="FO28" s="301"/>
      <c r="FP28" s="301"/>
      <c r="FQ28" s="301"/>
      <c r="FR28" s="301"/>
      <c r="FS28" s="301"/>
      <c r="FT28" s="301"/>
      <c r="FU28" s="301"/>
      <c r="FV28" s="301"/>
      <c r="FW28" s="301"/>
      <c r="FX28" s="301"/>
      <c r="FY28" s="301"/>
      <c r="FZ28" s="301"/>
      <c r="GA28" s="301"/>
      <c r="GB28" s="301"/>
      <c r="GC28" s="301"/>
      <c r="GD28" s="301"/>
      <c r="GE28" s="301"/>
      <c r="GF28" s="301"/>
      <c r="GG28" s="301"/>
      <c r="GH28" s="301"/>
      <c r="GI28" s="301"/>
      <c r="GJ28" s="301"/>
      <c r="GK28" s="301"/>
      <c r="GL28" s="301"/>
      <c r="GM28" s="301"/>
      <c r="GN28" s="301"/>
      <c r="GO28" s="301"/>
      <c r="GP28" s="301"/>
      <c r="GQ28" s="301"/>
      <c r="GR28" s="301"/>
      <c r="GS28" s="301"/>
      <c r="GT28" s="301"/>
      <c r="GU28" s="301"/>
      <c r="GV28" s="301"/>
      <c r="GW28" s="301"/>
      <c r="GX28" s="301"/>
      <c r="GY28" s="301"/>
      <c r="GZ28" s="301"/>
      <c r="HA28" s="301"/>
      <c r="HB28" s="301"/>
      <c r="HC28" s="301"/>
      <c r="HD28" s="301"/>
      <c r="HE28" s="301"/>
      <c r="HF28" s="301"/>
      <c r="HG28" s="301"/>
      <c r="HH28" s="301"/>
      <c r="HI28" s="301"/>
      <c r="HJ28" s="301"/>
      <c r="HK28" s="301"/>
      <c r="HL28" s="301"/>
      <c r="HM28" s="301"/>
      <c r="HN28" s="301"/>
      <c r="HO28" s="301"/>
      <c r="HP28" s="301"/>
      <c r="HQ28" s="301"/>
      <c r="HR28" s="301"/>
      <c r="HS28" s="301"/>
      <c r="HT28" s="301"/>
      <c r="HU28" s="301"/>
      <c r="HV28" s="301"/>
      <c r="HW28" s="301"/>
      <c r="HX28" s="301"/>
      <c r="HY28" s="301"/>
      <c r="HZ28" s="301"/>
      <c r="IA28" s="301"/>
      <c r="IB28" s="301"/>
      <c r="IC28" s="301"/>
      <c r="ID28" s="301"/>
      <c r="IE28" s="301"/>
      <c r="IF28" s="301"/>
      <c r="IG28" s="301"/>
      <c r="IH28" s="301"/>
      <c r="II28" s="301"/>
      <c r="IJ28" s="301"/>
      <c r="IK28" s="301"/>
      <c r="IL28" s="301"/>
      <c r="IM28" s="301"/>
      <c r="IN28" s="301"/>
      <c r="IO28" s="301"/>
      <c r="IP28" s="301"/>
    </row>
    <row r="29" spans="1:250" s="63" customFormat="1" ht="14.25">
      <c r="A29" s="129"/>
      <c r="B29" s="129"/>
      <c r="C29" s="129"/>
      <c r="D29" s="129"/>
      <c r="E29" s="129"/>
      <c r="F29" s="129"/>
      <c r="G29" s="129"/>
      <c r="H29" s="295"/>
      <c r="I29" s="295"/>
      <c r="J29" s="295"/>
      <c r="K29" s="295"/>
      <c r="L29" s="295"/>
      <c r="M29" s="295"/>
      <c r="N29" s="295"/>
      <c r="O29" s="303"/>
      <c r="R29" s="303"/>
      <c r="S29" s="304"/>
      <c r="T29" s="304"/>
      <c r="U29" s="305"/>
      <c r="V29" s="305"/>
      <c r="W29" s="305"/>
      <c r="X29" s="305"/>
      <c r="Y29" s="306"/>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c r="CB29" s="301"/>
      <c r="CC29" s="301"/>
      <c r="CD29" s="301"/>
      <c r="CE29" s="301"/>
      <c r="CF29" s="301"/>
      <c r="CG29" s="301"/>
      <c r="CH29" s="301"/>
      <c r="CI29" s="301"/>
      <c r="CJ29" s="301"/>
      <c r="CK29" s="301"/>
      <c r="CL29" s="301"/>
      <c r="CM29" s="301"/>
      <c r="CN29" s="301"/>
      <c r="CO29" s="301"/>
      <c r="CP29" s="301"/>
      <c r="CQ29" s="301"/>
      <c r="CR29" s="301"/>
      <c r="CS29" s="301"/>
      <c r="CT29" s="301"/>
      <c r="CU29" s="301"/>
      <c r="CV29" s="301"/>
      <c r="CW29" s="301"/>
      <c r="CX29" s="301"/>
      <c r="CY29" s="301"/>
      <c r="CZ29" s="301"/>
      <c r="DA29" s="301"/>
      <c r="DB29" s="301"/>
      <c r="DC29" s="301"/>
      <c r="DD29" s="301"/>
      <c r="DE29" s="301"/>
      <c r="DF29" s="301"/>
      <c r="DG29" s="301"/>
      <c r="DH29" s="301"/>
      <c r="DI29" s="301"/>
      <c r="DJ29" s="301"/>
      <c r="DK29" s="301"/>
      <c r="DL29" s="301"/>
      <c r="DM29" s="301"/>
      <c r="DN29" s="301"/>
      <c r="DO29" s="301"/>
      <c r="DP29" s="301"/>
      <c r="DQ29" s="301"/>
      <c r="DR29" s="301"/>
      <c r="DS29" s="301"/>
      <c r="DT29" s="301"/>
      <c r="DU29" s="301"/>
      <c r="DV29" s="301"/>
      <c r="DW29" s="301"/>
      <c r="DX29" s="301"/>
      <c r="DY29" s="301"/>
      <c r="DZ29" s="301"/>
      <c r="EA29" s="301"/>
      <c r="EB29" s="301"/>
      <c r="EC29" s="301"/>
      <c r="ED29" s="301"/>
      <c r="EE29" s="301"/>
      <c r="EF29" s="301"/>
      <c r="EG29" s="301"/>
      <c r="EH29" s="301"/>
      <c r="EI29" s="301"/>
      <c r="EJ29" s="301"/>
      <c r="EK29" s="301"/>
      <c r="EL29" s="301"/>
      <c r="EM29" s="301"/>
      <c r="EN29" s="301"/>
      <c r="EO29" s="301"/>
      <c r="EP29" s="301"/>
      <c r="EQ29" s="301"/>
      <c r="ER29" s="301"/>
      <c r="ES29" s="301"/>
      <c r="ET29" s="301"/>
      <c r="EU29" s="301"/>
      <c r="EV29" s="301"/>
      <c r="EW29" s="301"/>
      <c r="EX29" s="301"/>
      <c r="EY29" s="301"/>
      <c r="EZ29" s="301"/>
      <c r="FA29" s="301"/>
      <c r="FB29" s="301"/>
      <c r="FC29" s="301"/>
      <c r="FD29" s="301"/>
      <c r="FE29" s="301"/>
      <c r="FF29" s="301"/>
      <c r="FG29" s="301"/>
      <c r="FH29" s="301"/>
      <c r="FI29" s="301"/>
      <c r="FJ29" s="301"/>
      <c r="FK29" s="301"/>
      <c r="FL29" s="301"/>
      <c r="FM29" s="301"/>
      <c r="FN29" s="301"/>
      <c r="FO29" s="301"/>
      <c r="FP29" s="301"/>
      <c r="FQ29" s="301"/>
      <c r="FR29" s="301"/>
      <c r="FS29" s="301"/>
      <c r="FT29" s="301"/>
      <c r="FU29" s="301"/>
      <c r="FV29" s="301"/>
      <c r="FW29" s="301"/>
      <c r="FX29" s="301"/>
      <c r="FY29" s="301"/>
      <c r="FZ29" s="301"/>
      <c r="GA29" s="301"/>
      <c r="GB29" s="301"/>
      <c r="GC29" s="301"/>
      <c r="GD29" s="301"/>
      <c r="GE29" s="301"/>
      <c r="GF29" s="301"/>
      <c r="GG29" s="301"/>
      <c r="GH29" s="301"/>
      <c r="GI29" s="301"/>
      <c r="GJ29" s="301"/>
      <c r="GK29" s="301"/>
      <c r="GL29" s="301"/>
      <c r="GM29" s="301"/>
      <c r="GN29" s="301"/>
      <c r="GO29" s="301"/>
      <c r="GP29" s="301"/>
      <c r="GQ29" s="301"/>
      <c r="GR29" s="301"/>
      <c r="GS29" s="301"/>
      <c r="GT29" s="301"/>
      <c r="GU29" s="301"/>
      <c r="GV29" s="301"/>
      <c r="GW29" s="301"/>
      <c r="GX29" s="301"/>
      <c r="GY29" s="301"/>
      <c r="GZ29" s="301"/>
      <c r="HA29" s="301"/>
      <c r="HB29" s="301"/>
      <c r="HC29" s="301"/>
      <c r="HD29" s="301"/>
      <c r="HE29" s="301"/>
      <c r="HF29" s="301"/>
      <c r="HG29" s="301"/>
      <c r="HH29" s="301"/>
      <c r="HI29" s="301"/>
      <c r="HJ29" s="301"/>
      <c r="HK29" s="301"/>
      <c r="HL29" s="301"/>
      <c r="HM29" s="301"/>
      <c r="HN29" s="301"/>
      <c r="HO29" s="301"/>
      <c r="HP29" s="301"/>
      <c r="HQ29" s="301"/>
      <c r="HR29" s="301"/>
      <c r="HS29" s="301"/>
      <c r="HT29" s="301"/>
      <c r="HU29" s="301"/>
      <c r="HV29" s="301"/>
      <c r="HW29" s="301"/>
      <c r="HX29" s="301"/>
      <c r="HY29" s="301"/>
      <c r="HZ29" s="301"/>
      <c r="IA29" s="301"/>
      <c r="IB29" s="301"/>
      <c r="IC29" s="301"/>
      <c r="ID29" s="301"/>
      <c r="IE29" s="301"/>
      <c r="IF29" s="301"/>
      <c r="IG29" s="301"/>
      <c r="IH29" s="301"/>
      <c r="II29" s="301"/>
      <c r="IJ29" s="301"/>
      <c r="IK29" s="301"/>
      <c r="IL29" s="301"/>
      <c r="IM29" s="301"/>
      <c r="IN29" s="301"/>
      <c r="IO29" s="301"/>
      <c r="IP29" s="301"/>
    </row>
    <row r="30" spans="2:8" ht="14.25">
      <c r="B30" s="202"/>
      <c r="C30" s="275"/>
      <c r="D30" s="275"/>
      <c r="E30" s="275"/>
      <c r="F30" s="275"/>
      <c r="G30" s="275"/>
      <c r="H30" s="277"/>
    </row>
    <row r="31" spans="2:8" ht="14.25">
      <c r="B31" s="202"/>
      <c r="C31" s="278"/>
      <c r="D31" s="278"/>
      <c r="E31" s="278"/>
      <c r="F31" s="278"/>
      <c r="G31" s="279"/>
      <c r="H31" s="308"/>
    </row>
    <row r="32" spans="2:10" ht="14.25">
      <c r="B32" s="202"/>
      <c r="C32" s="278"/>
      <c r="D32" s="278"/>
      <c r="E32" s="278"/>
      <c r="F32" s="278"/>
      <c r="G32" s="279"/>
      <c r="H32" s="265"/>
      <c r="I32" s="202"/>
      <c r="J32" s="202"/>
    </row>
    <row r="33" spans="3:10" ht="14.25">
      <c r="C33" s="309"/>
      <c r="D33" s="309"/>
      <c r="E33" s="309"/>
      <c r="F33" s="309"/>
      <c r="G33" s="309"/>
      <c r="H33" s="265"/>
      <c r="I33" s="202"/>
      <c r="J33" s="202"/>
    </row>
    <row r="34" spans="3:12" ht="14.25">
      <c r="C34" s="309"/>
      <c r="D34" s="309"/>
      <c r="E34" s="309"/>
      <c r="F34" s="309"/>
      <c r="G34" s="309"/>
      <c r="H34" s="265"/>
      <c r="L34" s="202"/>
    </row>
    <row r="35" spans="3:12" ht="14.25">
      <c r="C35" s="309"/>
      <c r="D35" s="309"/>
      <c r="E35" s="309"/>
      <c r="F35" s="309"/>
      <c r="G35" s="309"/>
      <c r="H35" s="265"/>
      <c r="L35" s="202"/>
    </row>
    <row r="36" spans="3:12" ht="14.25">
      <c r="C36" s="309"/>
      <c r="D36" s="309"/>
      <c r="E36" s="309"/>
      <c r="F36" s="309"/>
      <c r="G36" s="309"/>
      <c r="H36" s="265"/>
      <c r="L36" s="202"/>
    </row>
    <row r="37" spans="2:12" ht="14.25">
      <c r="B37" s="202"/>
      <c r="C37" s="310"/>
      <c r="D37" s="310"/>
      <c r="E37" s="310"/>
      <c r="F37" s="310"/>
      <c r="G37" s="310"/>
      <c r="H37" s="265"/>
      <c r="L37" s="202"/>
    </row>
    <row r="38" spans="2:12" ht="14.25">
      <c r="B38" s="202"/>
      <c r="C38" s="265"/>
      <c r="D38" s="265"/>
      <c r="E38" s="265"/>
      <c r="F38" s="265"/>
      <c r="G38" s="265"/>
      <c r="H38" s="265"/>
      <c r="L38" s="202"/>
    </row>
    <row r="39" spans="3:12" ht="14.25">
      <c r="C39" s="160"/>
      <c r="D39" s="160"/>
      <c r="E39" s="160"/>
      <c r="F39" s="160"/>
      <c r="G39" s="160"/>
      <c r="H39" s="265"/>
      <c r="L39" s="202"/>
    </row>
    <row r="40" spans="3:12" ht="14.25">
      <c r="C40" s="160"/>
      <c r="D40" s="160"/>
      <c r="E40" s="160"/>
      <c r="F40" s="160"/>
      <c r="G40" s="160"/>
      <c r="H40" s="265"/>
      <c r="L40" s="202"/>
    </row>
    <row r="41" spans="3:12" ht="14.25">
      <c r="C41" s="160"/>
      <c r="D41" s="160"/>
      <c r="E41" s="160"/>
      <c r="F41" s="160"/>
      <c r="G41" s="160"/>
      <c r="L41" s="202"/>
    </row>
    <row r="42" spans="3:12" ht="14.25">
      <c r="C42" s="160"/>
      <c r="D42" s="160"/>
      <c r="E42" s="160"/>
      <c r="F42" s="160"/>
      <c r="G42" s="160"/>
      <c r="H42" s="311"/>
      <c r="L42" s="202"/>
    </row>
    <row r="43" spans="3:12" ht="14.25">
      <c r="C43" s="160"/>
      <c r="D43" s="160"/>
      <c r="E43" s="160"/>
      <c r="F43" s="160"/>
      <c r="G43" s="160"/>
      <c r="H43" s="311"/>
      <c r="L43" s="202"/>
    </row>
    <row r="44" spans="2:12" ht="14.25">
      <c r="B44" s="202"/>
      <c r="C44" s="312"/>
      <c r="D44" s="312"/>
      <c r="E44" s="312"/>
      <c r="F44" s="312"/>
      <c r="G44" s="312"/>
      <c r="H44" s="311"/>
      <c r="L44" s="202"/>
    </row>
    <row r="45" spans="2:12" ht="14.25">
      <c r="B45" s="202"/>
      <c r="C45" s="160"/>
      <c r="D45" s="160"/>
      <c r="E45" s="160"/>
      <c r="F45" s="160"/>
      <c r="G45" s="160"/>
      <c r="H45" s="265"/>
      <c r="L45" s="202"/>
    </row>
    <row r="46" spans="3:12" ht="14.25">
      <c r="C46" s="160"/>
      <c r="D46" s="160"/>
      <c r="E46" s="160"/>
      <c r="F46" s="160"/>
      <c r="G46" s="160"/>
      <c r="H46" s="265"/>
      <c r="L46" s="202"/>
    </row>
    <row r="47" spans="3:12" ht="14.25">
      <c r="C47" s="160"/>
      <c r="D47" s="160"/>
      <c r="E47" s="160"/>
      <c r="F47" s="160"/>
      <c r="G47" s="160"/>
      <c r="H47" s="265"/>
      <c r="L47" s="202"/>
    </row>
    <row r="48" spans="3:12" ht="14.25">
      <c r="C48" s="160"/>
      <c r="D48" s="160"/>
      <c r="E48" s="160"/>
      <c r="F48" s="160"/>
      <c r="G48" s="160"/>
      <c r="H48" s="265"/>
      <c r="L48" s="202"/>
    </row>
    <row r="49" spans="3:12" ht="14.25">
      <c r="C49" s="160"/>
      <c r="D49" s="160"/>
      <c r="E49" s="160"/>
      <c r="F49" s="160"/>
      <c r="G49" s="160"/>
      <c r="H49" s="265"/>
      <c r="L49" s="202"/>
    </row>
    <row r="50" spans="3:12" ht="14.25">
      <c r="C50" s="160"/>
      <c r="D50" s="160"/>
      <c r="E50" s="160"/>
      <c r="F50" s="160"/>
      <c r="G50" s="160"/>
      <c r="H50" s="265"/>
      <c r="L50" s="202"/>
    </row>
    <row r="51" spans="2:12" ht="14.25">
      <c r="B51" s="202"/>
      <c r="C51" s="312"/>
      <c r="D51" s="312"/>
      <c r="E51" s="312"/>
      <c r="F51" s="312"/>
      <c r="G51" s="312"/>
      <c r="H51" s="265"/>
      <c r="L51" s="202"/>
    </row>
    <row r="52" spans="2:12" ht="14.25">
      <c r="B52" s="202"/>
      <c r="C52" s="160"/>
      <c r="D52" s="160"/>
      <c r="E52" s="160"/>
      <c r="F52" s="160"/>
      <c r="G52" s="160"/>
      <c r="H52" s="265"/>
      <c r="L52" s="202"/>
    </row>
    <row r="53" spans="3:12" ht="14.25">
      <c r="C53" s="160"/>
      <c r="D53" s="160"/>
      <c r="E53" s="160"/>
      <c r="F53" s="160"/>
      <c r="G53" s="160"/>
      <c r="H53" s="265"/>
      <c r="L53" s="202"/>
    </row>
    <row r="54" spans="3:12" ht="14.25">
      <c r="C54" s="160"/>
      <c r="D54" s="160"/>
      <c r="E54" s="160"/>
      <c r="F54" s="160"/>
      <c r="G54" s="160"/>
      <c r="H54" s="265"/>
      <c r="L54" s="202"/>
    </row>
    <row r="55" spans="2:12" ht="14.25">
      <c r="B55" s="98"/>
      <c r="C55" s="160"/>
      <c r="D55" s="160"/>
      <c r="E55" s="160"/>
      <c r="F55" s="160"/>
      <c r="G55" s="160"/>
      <c r="H55" s="265"/>
      <c r="L55" s="202"/>
    </row>
    <row r="56" spans="2:7" ht="14.25">
      <c r="B56" s="98"/>
      <c r="C56" s="160"/>
      <c r="D56" s="160"/>
      <c r="E56" s="160"/>
      <c r="F56" s="160"/>
      <c r="G56" s="160"/>
    </row>
    <row r="57" spans="2:7" ht="14.25">
      <c r="B57" s="98"/>
      <c r="C57" s="265"/>
      <c r="D57" s="265"/>
      <c r="E57" s="265"/>
      <c r="F57" s="265"/>
      <c r="G57" s="265"/>
    </row>
    <row r="58" spans="2:7" ht="14.25">
      <c r="B58" s="98"/>
      <c r="C58" s="265"/>
      <c r="D58" s="265"/>
      <c r="E58" s="265"/>
      <c r="F58" s="265"/>
      <c r="G58" s="265"/>
    </row>
    <row r="59" spans="3:7" ht="14.25">
      <c r="C59" s="160"/>
      <c r="D59" s="160"/>
      <c r="E59" s="160"/>
      <c r="F59" s="160"/>
      <c r="G59" s="160"/>
    </row>
    <row r="60" spans="2:7" ht="14.25">
      <c r="B60" s="98"/>
      <c r="C60" s="160"/>
      <c r="D60" s="295"/>
      <c r="E60" s="295"/>
      <c r="F60" s="295"/>
      <c r="G60" s="295"/>
    </row>
    <row r="61" spans="2:7" ht="14.25">
      <c r="B61" s="98"/>
      <c r="C61" s="310"/>
      <c r="D61" s="310"/>
      <c r="E61" s="310"/>
      <c r="F61" s="310"/>
      <c r="G61" s="310"/>
    </row>
    <row r="62" spans="2:7" ht="14.25">
      <c r="B62" s="98"/>
      <c r="C62" s="151"/>
      <c r="D62" s="151"/>
      <c r="E62" s="151"/>
      <c r="F62" s="151"/>
      <c r="G62" s="151"/>
    </row>
    <row r="63" spans="2:7" ht="14.25">
      <c r="B63" s="98"/>
      <c r="C63" s="302"/>
      <c r="D63" s="302"/>
      <c r="E63" s="302"/>
      <c r="F63" s="302"/>
      <c r="G63" s="302"/>
    </row>
    <row r="64" spans="2:9" ht="14.25">
      <c r="B64" s="98"/>
      <c r="C64" s="302"/>
      <c r="D64" s="302"/>
      <c r="E64" s="302"/>
      <c r="F64" s="302"/>
      <c r="G64" s="302"/>
      <c r="I64" s="140"/>
    </row>
    <row r="67" ht="14.25">
      <c r="C67" s="265"/>
    </row>
    <row r="68" ht="14.25">
      <c r="C68" s="265"/>
    </row>
    <row r="69" ht="14.25">
      <c r="C69" s="265"/>
    </row>
    <row r="70" spans="3:10" ht="14.25">
      <c r="C70" s="265"/>
      <c r="J70" s="179"/>
    </row>
    <row r="71" spans="3:10" ht="14.25">
      <c r="C71" s="265"/>
      <c r="J71" s="179"/>
    </row>
    <row r="72" spans="3:10" ht="14.25">
      <c r="C72" s="265"/>
      <c r="J72" s="179"/>
    </row>
    <row r="73" ht="14.25">
      <c r="J73" s="179"/>
    </row>
    <row r="74" ht="14.25">
      <c r="J74" s="179"/>
    </row>
    <row r="75" ht="14.25">
      <c r="J75" s="179"/>
    </row>
    <row r="76" ht="14.25">
      <c r="J76" s="179"/>
    </row>
    <row r="77" ht="14.25">
      <c r="J77" s="179"/>
    </row>
    <row r="78" ht="14.25">
      <c r="J78" s="179"/>
    </row>
    <row r="79" ht="14.25">
      <c r="J79" s="179"/>
    </row>
  </sheetData>
  <printOptions/>
  <pageMargins left="0.75" right="0.75" top="1" bottom="1"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Sheet33"/>
  <dimension ref="A1:V259"/>
  <sheetViews>
    <sheetView zoomScale="60" zoomScaleNormal="60" workbookViewId="0" topLeftCell="B221">
      <selection activeCell="A1" sqref="A1"/>
    </sheetView>
  </sheetViews>
  <sheetFormatPr defaultColWidth="9.00390625" defaultRowHeight="15"/>
  <cols>
    <col min="1" max="1" width="83.375" style="63" customWidth="1"/>
    <col min="2" max="2" width="14.50390625" style="63" customWidth="1"/>
    <col min="3" max="6" width="10.75390625" style="63" customWidth="1"/>
    <col min="7" max="7" width="14.375" style="63" customWidth="1"/>
    <col min="8" max="8" width="15.875" style="63" customWidth="1"/>
    <col min="9" max="9" width="18.00390625" style="63" customWidth="1"/>
    <col min="10" max="13" width="10.75390625" style="63" customWidth="1"/>
    <col min="14" max="14" width="10.625" style="63" bestFit="1" customWidth="1"/>
    <col min="15" max="15" width="9.25390625" style="63" bestFit="1" customWidth="1"/>
    <col min="16" max="16" width="9.375" style="63" bestFit="1" customWidth="1"/>
    <col min="17" max="17" width="9.00390625" style="63" customWidth="1"/>
    <col min="18" max="18" width="10.00390625" style="63" bestFit="1" customWidth="1"/>
    <col min="19" max="19" width="9.00390625" style="63" customWidth="1"/>
    <col min="20" max="20" width="11.50390625" style="63" customWidth="1"/>
    <col min="21" max="23" width="9.00390625" style="63" customWidth="1"/>
    <col min="24" max="24" width="10.625" style="63" bestFit="1" customWidth="1"/>
    <col min="25" max="16384" width="9.00390625" style="63" customWidth="1"/>
  </cols>
  <sheetData>
    <row r="1" ht="18">
      <c r="A1" s="313" t="s">
        <v>278</v>
      </c>
    </row>
    <row r="3" spans="1:2" ht="14.25">
      <c r="A3" s="216"/>
      <c r="B3" s="216"/>
    </row>
    <row r="5" spans="1:17" ht="14.25">
      <c r="A5" s="314" t="s">
        <v>354</v>
      </c>
      <c r="B5" s="624" t="str">
        <f>CHOOSE('Allowed revenue'!B73,'Allowed revenue'!C68,'Allowed revenue'!C69,'Allowed revenue'!C70,'Allowed revenue'!C71,'Allowed revenue'!C72)</f>
        <v>No profiling</v>
      </c>
      <c r="C5" s="625"/>
      <c r="D5" s="625"/>
      <c r="E5" s="625"/>
      <c r="F5" s="626"/>
      <c r="G5" s="475" t="s">
        <v>418</v>
      </c>
      <c r="I5" s="94" t="s">
        <v>684</v>
      </c>
      <c r="J5" s="95"/>
      <c r="K5" s="448"/>
      <c r="L5" s="448"/>
      <c r="M5" s="448"/>
      <c r="N5" s="448"/>
      <c r="O5" s="448"/>
      <c r="P5" s="449"/>
      <c r="Q5" s="96"/>
    </row>
    <row r="6" spans="1:19" ht="14.25">
      <c r="A6" s="190"/>
      <c r="B6" s="315" t="s">
        <v>538</v>
      </c>
      <c r="C6" s="315" t="s">
        <v>223</v>
      </c>
      <c r="D6" s="315" t="s">
        <v>223</v>
      </c>
      <c r="E6" s="315" t="s">
        <v>223</v>
      </c>
      <c r="F6" s="315" t="s">
        <v>223</v>
      </c>
      <c r="G6" s="474" t="s">
        <v>223</v>
      </c>
      <c r="I6" s="159"/>
      <c r="J6" s="316" t="s">
        <v>91</v>
      </c>
      <c r="K6" s="316" t="s">
        <v>92</v>
      </c>
      <c r="L6" s="316" t="s">
        <v>93</v>
      </c>
      <c r="M6" s="316" t="s">
        <v>94</v>
      </c>
      <c r="N6" s="316" t="s">
        <v>95</v>
      </c>
      <c r="O6" s="316" t="s">
        <v>131</v>
      </c>
      <c r="P6" s="316" t="s">
        <v>258</v>
      </c>
      <c r="Q6" s="450" t="s">
        <v>391</v>
      </c>
      <c r="R6" s="316"/>
      <c r="S6" s="316"/>
    </row>
    <row r="7" spans="1:19" ht="14.25">
      <c r="A7" s="190" t="s">
        <v>222</v>
      </c>
      <c r="B7" s="317">
        <f>B75</f>
        <v>-0.03125401368333205</v>
      </c>
      <c r="C7" s="317">
        <f>C75</f>
        <v>0.01089693987021327</v>
      </c>
      <c r="D7" s="317">
        <f>D75</f>
        <v>0.003684958461807207</v>
      </c>
      <c r="E7" s="317">
        <f>E75</f>
        <v>0.007405386325224053</v>
      </c>
      <c r="F7" s="317">
        <f>F75</f>
        <v>0.00940813814751442</v>
      </c>
      <c r="G7" s="317">
        <f>+(AVERAGE(1,(1+B7),(1+B7)*(1+C7),(1+B7)*(1+C7)*(1+D7),(1+B7)*(1+C7)*(1+D7)*(1+E7),(1+B7)*(1+C7)*(1+D7)*(1+E7)*(1+F7))^0.4-1)</f>
        <v>-0.005310802783986657</v>
      </c>
      <c r="I7" s="159" t="str">
        <f aca="true" t="shared" si="0" ref="I7:I15">A7</f>
        <v>East of England</v>
      </c>
      <c r="J7" s="142">
        <v>427.1600831838461</v>
      </c>
      <c r="K7" s="151">
        <f>B78</f>
        <v>413.8096160990445</v>
      </c>
      <c r="L7" s="151">
        <f>C78</f>
        <v>418.3188746033918</v>
      </c>
      <c r="M7" s="151">
        <f>D78</f>
        <v>419.8603622800953</v>
      </c>
      <c r="N7" s="151">
        <f>E78</f>
        <v>422.96959046542787</v>
      </c>
      <c r="O7" s="151">
        <f>F78</f>
        <v>426.9489468047243</v>
      </c>
      <c r="P7" s="142">
        <f>SUM(K7:O7)</f>
        <v>2101.907390252684</v>
      </c>
      <c r="Q7" s="164">
        <f>AVERAGE(K7:O7)</f>
        <v>420.38147805053677</v>
      </c>
      <c r="R7" s="139"/>
      <c r="S7" s="172"/>
    </row>
    <row r="8" spans="1:19" ht="14.25">
      <c r="A8" s="190" t="s">
        <v>219</v>
      </c>
      <c r="B8" s="317">
        <f>B95</f>
        <v>0.12053764832607777</v>
      </c>
      <c r="C8" s="317">
        <f>C95</f>
        <v>-0.014072065141554556</v>
      </c>
      <c r="D8" s="317">
        <f>D95</f>
        <v>0.01825954686636448</v>
      </c>
      <c r="E8" s="317">
        <f>E95</f>
        <v>0.011898369870638545</v>
      </c>
      <c r="F8" s="317">
        <f>F95</f>
        <v>0.0019010340109222724</v>
      </c>
      <c r="G8" s="317">
        <f aca="true" t="shared" si="1" ref="G8:G14">+(AVERAGE(1,(1+B8),(1+B8)*(1+C8),(1+B8)*(1+C8)*(1+D8),(1+B8)*(1+C8)*(1+D8)*(1+E8),(1+B8)*(1+C8)*(1+D8)*(1+E8)*(1+F8))^0.4-1)</f>
        <v>0.040687789658261586</v>
      </c>
      <c r="I8" s="159" t="str">
        <f t="shared" si="0"/>
        <v>London</v>
      </c>
      <c r="J8" s="142">
        <v>245.0807249840038</v>
      </c>
      <c r="K8" s="151">
        <f>B98</f>
        <v>274.6221792236259</v>
      </c>
      <c r="L8" s="151">
        <f>C98</f>
        <v>270.7576780282753</v>
      </c>
      <c r="M8" s="151">
        <f>D98</f>
        <v>275.7015905396606</v>
      </c>
      <c r="N8" s="151">
        <f>E98</f>
        <v>278.9819900378248</v>
      </c>
      <c r="O8" s="151">
        <f>F98</f>
        <v>279.51234428932156</v>
      </c>
      <c r="P8" s="142">
        <f aca="true" t="shared" si="2" ref="P8:P14">SUM(K8:O8)</f>
        <v>1379.575782118708</v>
      </c>
      <c r="Q8" s="164">
        <f aca="true" t="shared" si="3" ref="Q8:Q14">AVERAGE(K8:O8)</f>
        <v>275.9151564237416</v>
      </c>
      <c r="R8" s="139"/>
      <c r="S8" s="172"/>
    </row>
    <row r="9" spans="1:19" ht="14.25">
      <c r="A9" s="190" t="s">
        <v>485</v>
      </c>
      <c r="B9" s="317">
        <f>B115</f>
        <v>0.01610871664488722</v>
      </c>
      <c r="C9" s="317">
        <f>C115</f>
        <v>0.0026176259736457566</v>
      </c>
      <c r="D9" s="317">
        <f>D115</f>
        <v>0.0020271552381225058</v>
      </c>
      <c r="E9" s="317">
        <f>E115</f>
        <v>0.006667653892098463</v>
      </c>
      <c r="F9" s="317">
        <f>F115</f>
        <v>0.004333965879195897</v>
      </c>
      <c r="G9" s="317">
        <f t="shared" si="1"/>
        <v>0.007652374834731468</v>
      </c>
      <c r="I9" s="159" t="str">
        <f t="shared" si="0"/>
        <v>North West</v>
      </c>
      <c r="J9" s="142">
        <v>285.45299108605406</v>
      </c>
      <c r="K9" s="151">
        <f>B118</f>
        <v>290.05127243489477</v>
      </c>
      <c r="L9" s="151">
        <f>C118</f>
        <v>290.8105181793094</v>
      </c>
      <c r="M9" s="151">
        <f>D118</f>
        <v>291.4000362445378</v>
      </c>
      <c r="N9" s="151">
        <f>E118</f>
        <v>293.34299083036126</v>
      </c>
      <c r="O9" s="151">
        <f>F118</f>
        <v>294.6143293435213</v>
      </c>
      <c r="P9" s="142">
        <f t="shared" si="2"/>
        <v>1460.2191470326245</v>
      </c>
      <c r="Q9" s="164">
        <f t="shared" si="3"/>
        <v>292.0438294065249</v>
      </c>
      <c r="R9" s="139"/>
      <c r="S9" s="172"/>
    </row>
    <row r="10" spans="1:19" ht="14.25">
      <c r="A10" s="190" t="s">
        <v>489</v>
      </c>
      <c r="B10" s="317">
        <f>B135</f>
        <v>0.026568589613359738</v>
      </c>
      <c r="C10" s="317">
        <f>C135</f>
        <v>0.04199714395366186</v>
      </c>
      <c r="D10" s="317">
        <f>D135</f>
        <v>-0.04312337813167596</v>
      </c>
      <c r="E10" s="317">
        <f>E135</f>
        <v>0.008311407478418263</v>
      </c>
      <c r="F10" s="317">
        <f>F135</f>
        <v>0.004835114179549235</v>
      </c>
      <c r="G10" s="317">
        <f t="shared" si="1"/>
        <v>0.012477286581992653</v>
      </c>
      <c r="I10" s="159" t="str">
        <f t="shared" si="0"/>
        <v>West Midlands</v>
      </c>
      <c r="J10" s="142">
        <v>217.78560674573737</v>
      </c>
      <c r="K10" s="151">
        <f>B138</f>
        <v>223.57186315506164</v>
      </c>
      <c r="L10" s="151">
        <f>C138</f>
        <v>232.96124287597317</v>
      </c>
      <c r="M10" s="151">
        <f>D138</f>
        <v>222.91516710940738</v>
      </c>
      <c r="N10" s="151">
        <f>E138</f>
        <v>224.76790589637335</v>
      </c>
      <c r="O10" s="151">
        <f>F138</f>
        <v>225.8546843852805</v>
      </c>
      <c r="P10" s="142">
        <f t="shared" si="2"/>
        <v>1130.070863422096</v>
      </c>
      <c r="Q10" s="164">
        <f t="shared" si="3"/>
        <v>226.01417268441918</v>
      </c>
      <c r="R10" s="139"/>
      <c r="S10" s="172"/>
    </row>
    <row r="11" spans="1:19" ht="14.25">
      <c r="A11" s="190" t="s">
        <v>220</v>
      </c>
      <c r="B11" s="317">
        <f>B155</f>
        <v>0.0035245871298248826</v>
      </c>
      <c r="C11" s="317">
        <f>C155</f>
        <v>0.05516891041249495</v>
      </c>
      <c r="D11" s="317">
        <f>D155</f>
        <v>-0.03509479986318636</v>
      </c>
      <c r="E11" s="317">
        <f>E155</f>
        <v>0.02147306332635615</v>
      </c>
      <c r="F11" s="317">
        <f>F155</f>
        <v>0.013423865385344886</v>
      </c>
      <c r="G11" s="317">
        <f t="shared" si="1"/>
        <v>0.012252590232594285</v>
      </c>
      <c r="I11" s="159" t="str">
        <f t="shared" si="0"/>
        <v>North England</v>
      </c>
      <c r="J11" s="142">
        <v>273.5263528099792</v>
      </c>
      <c r="K11" s="151">
        <f>B158</f>
        <v>274.4904202727614</v>
      </c>
      <c r="L11" s="151">
        <f>C158</f>
        <v>289.63375767787744</v>
      </c>
      <c r="M11" s="151">
        <f>D158</f>
        <v>279.4691189185497</v>
      </c>
      <c r="N11" s="151">
        <f>E158</f>
        <v>285.47017700684864</v>
      </c>
      <c r="O11" s="151">
        <f>F158</f>
        <v>289.30229023451915</v>
      </c>
      <c r="P11" s="142">
        <f t="shared" si="2"/>
        <v>1418.3657641105565</v>
      </c>
      <c r="Q11" s="164">
        <f t="shared" si="3"/>
        <v>283.6731528221113</v>
      </c>
      <c r="R11" s="139"/>
      <c r="S11" s="172"/>
    </row>
    <row r="12" spans="1:19" ht="14.25">
      <c r="A12" s="190" t="s">
        <v>484</v>
      </c>
      <c r="B12" s="317">
        <f>B175</f>
        <v>-0.004050458591132794</v>
      </c>
      <c r="C12" s="317">
        <f>C175</f>
        <v>0.010942136329485834</v>
      </c>
      <c r="D12" s="317">
        <f>D175</f>
        <v>0.02159972613082406</v>
      </c>
      <c r="E12" s="317">
        <f>E175</f>
        <v>0.017629727471636696</v>
      </c>
      <c r="F12" s="317">
        <f>F175</f>
        <v>0.011160136997016047</v>
      </c>
      <c r="G12" s="317">
        <f t="shared" si="1"/>
        <v>0.009040686354899963</v>
      </c>
      <c r="I12" s="159" t="str">
        <f t="shared" si="0"/>
        <v>Scotland</v>
      </c>
      <c r="J12" s="142">
        <v>194.29793503926805</v>
      </c>
      <c r="K12" s="151">
        <f>B178</f>
        <v>193.51093929904889</v>
      </c>
      <c r="L12" s="151">
        <f>C178</f>
        <v>195.6283623781059</v>
      </c>
      <c r="M12" s="151">
        <f>D178</f>
        <v>199.85388142889465</v>
      </c>
      <c r="N12" s="151">
        <f>E178</f>
        <v>203.37725089263483</v>
      </c>
      <c r="O12" s="151">
        <f>F178</f>
        <v>205.64696887467315</v>
      </c>
      <c r="P12" s="142">
        <f t="shared" si="2"/>
        <v>998.0174028733574</v>
      </c>
      <c r="Q12" s="164">
        <f t="shared" si="3"/>
        <v>199.60348057467147</v>
      </c>
      <c r="R12" s="139"/>
      <c r="S12" s="172"/>
    </row>
    <row r="13" spans="1:19" ht="14.25">
      <c r="A13" s="190" t="s">
        <v>221</v>
      </c>
      <c r="B13" s="317">
        <f>B195</f>
        <v>0.036821290888341865</v>
      </c>
      <c r="C13" s="317">
        <f>C195</f>
        <v>0.028051987027248877</v>
      </c>
      <c r="D13" s="317">
        <f>D195</f>
        <v>-0.006439396601676468</v>
      </c>
      <c r="E13" s="317">
        <f>E195</f>
        <v>0.011814464436354056</v>
      </c>
      <c r="F13" s="317">
        <f>F195</f>
        <v>0.01188452631235254</v>
      </c>
      <c r="G13" s="317">
        <f t="shared" si="1"/>
        <v>0.02084715871790066</v>
      </c>
      <c r="I13" s="159" t="str">
        <f t="shared" si="0"/>
        <v>South England</v>
      </c>
      <c r="J13" s="142">
        <v>432.39748015045444</v>
      </c>
      <c r="K13" s="151">
        <f>B198</f>
        <v>448.31891354646086</v>
      </c>
      <c r="L13" s="151">
        <f>C198</f>
        <v>460.8951498933365</v>
      </c>
      <c r="M13" s="151">
        <f>D198</f>
        <v>457.92726323138425</v>
      </c>
      <c r="N13" s="151">
        <f>E198</f>
        <v>463.33742859726834</v>
      </c>
      <c r="O13" s="151">
        <f>F198</f>
        <v>468.8439744589303</v>
      </c>
      <c r="P13" s="142">
        <f t="shared" si="2"/>
        <v>2299.32272972738</v>
      </c>
      <c r="Q13" s="164">
        <f t="shared" si="3"/>
        <v>459.86454594547604</v>
      </c>
      <c r="R13" s="139"/>
      <c r="S13" s="172"/>
    </row>
    <row r="14" spans="1:19" ht="14.25">
      <c r="A14" s="190" t="s">
        <v>364</v>
      </c>
      <c r="B14" s="317">
        <f>B215</f>
        <v>0.004533070481472983</v>
      </c>
      <c r="C14" s="317">
        <f>C215</f>
        <v>0.03950228725652493</v>
      </c>
      <c r="D14" s="317">
        <f>D215</f>
        <v>0.00029537854453650107</v>
      </c>
      <c r="E14" s="317">
        <f>E215</f>
        <v>0.010758660106354791</v>
      </c>
      <c r="F14" s="317">
        <f>F215</f>
        <v>0.0047186761624714475</v>
      </c>
      <c r="G14" s="317">
        <f t="shared" si="1"/>
        <v>0.013840872396814419</v>
      </c>
      <c r="I14" s="159" t="str">
        <f t="shared" si="0"/>
        <v>Wales and West</v>
      </c>
      <c r="J14" s="142">
        <v>251.99796044930216</v>
      </c>
      <c r="K14" s="151">
        <f>B218</f>
        <v>253.14028496520626</v>
      </c>
      <c r="L14" s="151">
        <f>C218</f>
        <v>263.1399052181004</v>
      </c>
      <c r="M14" s="151">
        <f>D218</f>
        <v>263.2176311003132</v>
      </c>
      <c r="N14" s="151">
        <f>E218</f>
        <v>266.0495001273214</v>
      </c>
      <c r="O14" s="151">
        <f>F218</f>
        <v>267.3049015616096</v>
      </c>
      <c r="P14" s="142">
        <f t="shared" si="2"/>
        <v>1312.8522229725509</v>
      </c>
      <c r="Q14" s="164">
        <f t="shared" si="3"/>
        <v>262.57044459451015</v>
      </c>
      <c r="R14" s="139"/>
      <c r="S14" s="172"/>
    </row>
    <row r="15" spans="1:20" ht="14.25">
      <c r="A15" s="314" t="s">
        <v>78</v>
      </c>
      <c r="B15" s="318">
        <f>B235</f>
        <v>0.018823890896809206</v>
      </c>
      <c r="C15" s="318">
        <f>C235</f>
        <v>0.021349217449006908</v>
      </c>
      <c r="D15" s="318">
        <f>D235</f>
        <v>-0.004871894795679129</v>
      </c>
      <c r="E15" s="318">
        <f>E235</f>
        <v>0.011596589870536486</v>
      </c>
      <c r="F15" s="318">
        <f>F235</f>
        <v>0.008092372439876731</v>
      </c>
      <c r="G15" s="318">
        <f>+(AVERAGE(1,(1+B15),(1+B15)*(1+C15),(1+B15)*(1+C15)*(1+D15),(1+B15)*(1+C15)*(1+D15)*(1+E15),(1+B15)*(1+C15)*(1+D15)*(1+E15)*(1+F15))^0.4-1)</f>
        <v>0.013098288654902479</v>
      </c>
      <c r="I15" s="159" t="str">
        <f t="shared" si="0"/>
        <v>Total</v>
      </c>
      <c r="J15" s="142">
        <f aca="true" t="shared" si="4" ref="J15:O15">SUM(J7:J14)</f>
        <v>2327.6991344486455</v>
      </c>
      <c r="K15" s="151">
        <f t="shared" si="4"/>
        <v>2371.5154889961045</v>
      </c>
      <c r="L15" s="151">
        <f t="shared" si="4"/>
        <v>2422.14548885437</v>
      </c>
      <c r="M15" s="151">
        <f t="shared" si="4"/>
        <v>2410.345050852843</v>
      </c>
      <c r="N15" s="151">
        <f t="shared" si="4"/>
        <v>2438.2968338540604</v>
      </c>
      <c r="O15" s="151">
        <f t="shared" si="4"/>
        <v>2458.0284399525804</v>
      </c>
      <c r="P15" s="142">
        <f>SUM(K15:O15)</f>
        <v>12100.33130250996</v>
      </c>
      <c r="Q15" s="164">
        <f>AVERAGE(K15:O15)</f>
        <v>2420.066260501992</v>
      </c>
      <c r="R15" s="139"/>
      <c r="S15" s="71"/>
      <c r="T15" s="70"/>
    </row>
    <row r="16" spans="9:17" ht="14.25">
      <c r="I16" s="167"/>
      <c r="J16" s="67"/>
      <c r="K16" s="451"/>
      <c r="L16" s="67"/>
      <c r="M16" s="67"/>
      <c r="N16" s="67"/>
      <c r="O16" s="67"/>
      <c r="P16" s="67"/>
      <c r="Q16" s="101"/>
    </row>
    <row r="17" ht="14.25">
      <c r="O17" s="136"/>
    </row>
    <row r="18" ht="14.25">
      <c r="A18" s="69"/>
    </row>
    <row r="19" spans="1:10" ht="14.25">
      <c r="A19" s="319" t="s">
        <v>728</v>
      </c>
      <c r="B19" s="320" t="s">
        <v>222</v>
      </c>
      <c r="C19" s="320" t="s">
        <v>219</v>
      </c>
      <c r="D19" s="320" t="s">
        <v>485</v>
      </c>
      <c r="E19" s="320" t="s">
        <v>489</v>
      </c>
      <c r="F19" s="320" t="s">
        <v>220</v>
      </c>
      <c r="G19" s="320" t="s">
        <v>484</v>
      </c>
      <c r="H19" s="320" t="s">
        <v>221</v>
      </c>
      <c r="I19" s="320" t="s">
        <v>364</v>
      </c>
      <c r="J19" s="319" t="s">
        <v>78</v>
      </c>
    </row>
    <row r="20" spans="1:11" ht="14.25">
      <c r="A20" s="321" t="str">
        <f>CHOOSE('Allowed revenue'!B73,'Allowed revenue'!C68,'Allowed revenue'!C69,'Allowed revenue'!C70,'Allowed revenue'!C71,'Allowed revenue'!C72)</f>
        <v>No profiling</v>
      </c>
      <c r="B20" s="322" t="s">
        <v>92</v>
      </c>
      <c r="C20" s="322" t="s">
        <v>92</v>
      </c>
      <c r="D20" s="322" t="s">
        <v>92</v>
      </c>
      <c r="E20" s="322" t="s">
        <v>92</v>
      </c>
      <c r="F20" s="322" t="s">
        <v>92</v>
      </c>
      <c r="G20" s="322" t="s">
        <v>92</v>
      </c>
      <c r="H20" s="322" t="s">
        <v>92</v>
      </c>
      <c r="I20" s="322" t="s">
        <v>92</v>
      </c>
      <c r="J20" s="323" t="s">
        <v>92</v>
      </c>
      <c r="K20" s="71"/>
    </row>
    <row r="21" spans="1:11" ht="14.25">
      <c r="A21" s="159" t="s">
        <v>372</v>
      </c>
      <c r="B21" s="324">
        <f>B64</f>
        <v>-0.027656073889451092</v>
      </c>
      <c r="C21" s="324">
        <f>B84</f>
        <v>0.014570524354987988</v>
      </c>
      <c r="D21" s="324">
        <f>B104</f>
        <v>-0.0053227011527543075</v>
      </c>
      <c r="E21" s="324">
        <f>B124</f>
        <v>-0.008078657535180197</v>
      </c>
      <c r="F21" s="324">
        <f>B144</f>
        <v>-0.0086775798854901</v>
      </c>
      <c r="G21" s="324">
        <f>B164</f>
        <v>0.00034288991955307033</v>
      </c>
      <c r="H21" s="324">
        <f>B184</f>
        <v>0.02880120200224567</v>
      </c>
      <c r="I21" s="324">
        <f>B204</f>
        <v>-0.017894276092161914</v>
      </c>
      <c r="J21" s="324">
        <f>B224</f>
        <v>-0.002527856905261313</v>
      </c>
      <c r="K21" s="97"/>
    </row>
    <row r="22" spans="1:11" ht="14.25">
      <c r="A22" s="159" t="s">
        <v>436</v>
      </c>
      <c r="B22" s="325">
        <f aca="true" t="shared" si="5" ref="B22:B35">B65</f>
        <v>-0.0003213832010856495</v>
      </c>
      <c r="C22" s="325">
        <f aca="true" t="shared" si="6" ref="C22:C35">B85</f>
        <v>-0.00032581004395304644</v>
      </c>
      <c r="D22" s="325">
        <f aca="true" t="shared" si="7" ref="D22:D35">B105</f>
        <v>-0.00032965695084249215</v>
      </c>
      <c r="E22" s="325">
        <f aca="true" t="shared" si="8" ref="E22:E35">B125</f>
        <v>-0.0003121027637158656</v>
      </c>
      <c r="F22" s="325">
        <f aca="true" t="shared" si="9" ref="F22:F35">B145</f>
        <v>-0.00025870854985243487</v>
      </c>
      <c r="G22" s="325">
        <f aca="true" t="shared" si="10" ref="G22:G35">B165</f>
        <v>-0.0007374759841691704</v>
      </c>
      <c r="H22" s="325">
        <f aca="true" t="shared" si="11" ref="H22:H35">B185</f>
        <v>-0.000767887597844587</v>
      </c>
      <c r="I22" s="325">
        <f aca="true" t="shared" si="12" ref="I22:I35">B205</f>
        <v>-0.0007709174811122968</v>
      </c>
      <c r="J22" s="325">
        <f aca="true" t="shared" si="13" ref="J22:J35">B225</f>
        <v>-0.00048097317850998787</v>
      </c>
      <c r="K22" s="97"/>
    </row>
    <row r="23" spans="1:11" ht="14.25">
      <c r="A23" s="159" t="s">
        <v>11</v>
      </c>
      <c r="B23" s="325">
        <f t="shared" si="5"/>
        <v>-0.010263012762210052</v>
      </c>
      <c r="C23" s="325">
        <f t="shared" si="6"/>
        <v>0.11577725312970037</v>
      </c>
      <c r="D23" s="325">
        <f t="shared" si="7"/>
        <v>0.02886822115974029</v>
      </c>
      <c r="E23" s="325">
        <f t="shared" si="8"/>
        <v>0.04786278365668993</v>
      </c>
      <c r="F23" s="325">
        <f t="shared" si="9"/>
        <v>0.0161682394344277</v>
      </c>
      <c r="G23" s="325">
        <f t="shared" si="10"/>
        <v>-0.001965025322467701</v>
      </c>
      <c r="H23" s="325">
        <f t="shared" si="11"/>
        <v>0.017879104296009796</v>
      </c>
      <c r="I23" s="325">
        <f t="shared" si="12"/>
        <v>0.02640228539928632</v>
      </c>
      <c r="J23" s="325">
        <f t="shared" si="13"/>
        <v>0.026240509015649498</v>
      </c>
      <c r="K23" s="97"/>
    </row>
    <row r="24" spans="1:11" ht="14.25">
      <c r="A24" s="159" t="s">
        <v>665</v>
      </c>
      <c r="B24" s="325">
        <f t="shared" si="5"/>
        <v>0.000279100803915913</v>
      </c>
      <c r="C24" s="325">
        <f t="shared" si="6"/>
        <v>0.014620175875352791</v>
      </c>
      <c r="D24" s="325">
        <f t="shared" si="7"/>
        <v>0.003238473547535942</v>
      </c>
      <c r="E24" s="325">
        <f t="shared" si="8"/>
        <v>0.0025798314718427215</v>
      </c>
      <c r="F24" s="325">
        <f t="shared" si="9"/>
        <v>0.006048787083651935</v>
      </c>
      <c r="G24" s="325">
        <f t="shared" si="10"/>
        <v>0.013987215162315872</v>
      </c>
      <c r="H24" s="325">
        <f t="shared" si="11"/>
        <v>0.010061032962723</v>
      </c>
      <c r="I24" s="325">
        <f t="shared" si="12"/>
        <v>0.00881908733094586</v>
      </c>
      <c r="J24" s="325">
        <f t="shared" si="13"/>
        <v>0.0069311247849805505</v>
      </c>
      <c r="K24" s="97"/>
    </row>
    <row r="25" spans="1:11" ht="14.25">
      <c r="A25" s="159" t="s">
        <v>373</v>
      </c>
      <c r="B25" s="325">
        <f t="shared" si="5"/>
        <v>0.00414834631325943</v>
      </c>
      <c r="C25" s="325">
        <f t="shared" si="6"/>
        <v>-0.0006237865318247631</v>
      </c>
      <c r="D25" s="325">
        <f t="shared" si="7"/>
        <v>0.004040410981866168</v>
      </c>
      <c r="E25" s="325">
        <f t="shared" si="8"/>
        <v>-0.002377560576834435</v>
      </c>
      <c r="F25" s="325">
        <f t="shared" si="9"/>
        <v>0.0009719390702848718</v>
      </c>
      <c r="G25" s="325">
        <f t="shared" si="10"/>
        <v>0.003190270271255879</v>
      </c>
      <c r="H25" s="325">
        <f t="shared" si="11"/>
        <v>0.0009044226797514405</v>
      </c>
      <c r="I25" s="325">
        <f t="shared" si="12"/>
        <v>0.006431476389174348</v>
      </c>
      <c r="J25" s="325">
        <f t="shared" si="13"/>
        <v>0.002213422536946023</v>
      </c>
      <c r="K25" s="97"/>
    </row>
    <row r="26" spans="1:11" ht="14.25">
      <c r="A26" s="159" t="s">
        <v>496</v>
      </c>
      <c r="B26" s="325">
        <f t="shared" si="5"/>
        <v>0.003477815608770466</v>
      </c>
      <c r="C26" s="325">
        <f t="shared" si="6"/>
        <v>0.005718449197258776</v>
      </c>
      <c r="D26" s="325">
        <f t="shared" si="7"/>
        <v>0.004894591203402758</v>
      </c>
      <c r="E26" s="325">
        <f t="shared" si="8"/>
        <v>0.005059936585968924</v>
      </c>
      <c r="F26" s="325">
        <f t="shared" si="9"/>
        <v>0.003776564649323876</v>
      </c>
      <c r="G26" s="325">
        <f t="shared" si="10"/>
        <v>0.0005476738622636784</v>
      </c>
      <c r="H26" s="325">
        <f t="shared" si="11"/>
        <v>0.000537156962000771</v>
      </c>
      <c r="I26" s="325">
        <f t="shared" si="12"/>
        <v>0.0006257332951087013</v>
      </c>
      <c r="J26" s="325">
        <f t="shared" si="13"/>
        <v>0.002970991105434427</v>
      </c>
      <c r="K26" s="97"/>
    </row>
    <row r="27" spans="1:11" ht="14.25">
      <c r="A27" s="286" t="s">
        <v>770</v>
      </c>
      <c r="B27" s="326">
        <f t="shared" si="5"/>
        <v>-0.03033520712680099</v>
      </c>
      <c r="C27" s="326">
        <f t="shared" si="6"/>
        <v>0.14973680598152214</v>
      </c>
      <c r="D27" s="326">
        <f t="shared" si="7"/>
        <v>0.03538933878894836</v>
      </c>
      <c r="E27" s="326">
        <f t="shared" si="8"/>
        <v>0.04473423083877108</v>
      </c>
      <c r="F27" s="326">
        <f t="shared" si="9"/>
        <v>0.01802924180234585</v>
      </c>
      <c r="G27" s="326">
        <f t="shared" si="10"/>
        <v>0.015365547908751628</v>
      </c>
      <c r="H27" s="326">
        <f t="shared" si="11"/>
        <v>0.05741503130488608</v>
      </c>
      <c r="I27" s="326">
        <f t="shared" si="12"/>
        <v>0.02361338884124102</v>
      </c>
      <c r="J27" s="326">
        <f t="shared" si="13"/>
        <v>0.0353472173592392</v>
      </c>
      <c r="K27" s="327"/>
    </row>
    <row r="28" spans="1:11" ht="14.25">
      <c r="A28" s="97" t="s">
        <v>435</v>
      </c>
      <c r="B28" s="325">
        <f t="shared" si="5"/>
        <v>0.018969907772168573</v>
      </c>
      <c r="C28" s="325">
        <f t="shared" si="6"/>
        <v>-0.00888826051574346</v>
      </c>
      <c r="D28" s="325">
        <f t="shared" si="7"/>
        <v>8.264185536490274E-05</v>
      </c>
      <c r="E28" s="325">
        <f t="shared" si="8"/>
        <v>0.0014548888551614153</v>
      </c>
      <c r="F28" s="325">
        <f t="shared" si="9"/>
        <v>0.005289093661555789</v>
      </c>
      <c r="G28" s="325">
        <f t="shared" si="10"/>
        <v>0</v>
      </c>
      <c r="H28" s="325">
        <f t="shared" si="11"/>
        <v>0</v>
      </c>
      <c r="I28" s="325">
        <f t="shared" si="12"/>
        <v>0</v>
      </c>
      <c r="J28" s="325">
        <f t="shared" si="13"/>
        <v>0.0033131415708149564</v>
      </c>
      <c r="K28" s="97"/>
    </row>
    <row r="29" spans="1:11" ht="14.25">
      <c r="A29" s="97" t="s">
        <v>682</v>
      </c>
      <c r="B29" s="324">
        <f t="shared" si="5"/>
        <v>-0.019888714328699632</v>
      </c>
      <c r="C29" s="324">
        <f t="shared" si="6"/>
        <v>-0.020310897139700915</v>
      </c>
      <c r="D29" s="324">
        <f t="shared" si="7"/>
        <v>-0.019363263999426044</v>
      </c>
      <c r="E29" s="324">
        <f t="shared" si="8"/>
        <v>-0.019620530080572757</v>
      </c>
      <c r="F29" s="324">
        <f t="shared" si="9"/>
        <v>-0.01979374833407676</v>
      </c>
      <c r="G29" s="324">
        <f t="shared" si="10"/>
        <v>-0.01941600649988442</v>
      </c>
      <c r="H29" s="324">
        <f t="shared" si="11"/>
        <v>-0.02059374041654422</v>
      </c>
      <c r="I29" s="324">
        <f t="shared" si="12"/>
        <v>-0.019080318359768037</v>
      </c>
      <c r="J29" s="324">
        <f t="shared" si="13"/>
        <v>-0.019836468033244948</v>
      </c>
      <c r="K29" s="97"/>
    </row>
    <row r="30" spans="1:11" ht="14.25">
      <c r="A30" s="286" t="s">
        <v>680</v>
      </c>
      <c r="B30" s="328">
        <f t="shared" si="5"/>
        <v>-0.03125401368333205</v>
      </c>
      <c r="C30" s="328">
        <f t="shared" si="6"/>
        <v>0.12053764832607777</v>
      </c>
      <c r="D30" s="328">
        <f t="shared" si="7"/>
        <v>0.01610871664488722</v>
      </c>
      <c r="E30" s="328">
        <f t="shared" si="8"/>
        <v>0.026568589613359738</v>
      </c>
      <c r="F30" s="328">
        <f t="shared" si="9"/>
        <v>0.0035245871298248826</v>
      </c>
      <c r="G30" s="328">
        <f t="shared" si="10"/>
        <v>-0.004050458591132794</v>
      </c>
      <c r="H30" s="328">
        <f t="shared" si="11"/>
        <v>0.036821290888341865</v>
      </c>
      <c r="I30" s="328">
        <f t="shared" si="12"/>
        <v>0.004533070481472983</v>
      </c>
      <c r="J30" s="328">
        <f t="shared" si="13"/>
        <v>0.018823890896809206</v>
      </c>
      <c r="K30" s="327"/>
    </row>
    <row r="31" spans="1:11" ht="14.25">
      <c r="A31" s="159" t="s">
        <v>597</v>
      </c>
      <c r="B31" s="324">
        <f t="shared" si="5"/>
        <v>0</v>
      </c>
      <c r="C31" s="324">
        <f t="shared" si="6"/>
        <v>0</v>
      </c>
      <c r="D31" s="324">
        <f t="shared" si="7"/>
        <v>0</v>
      </c>
      <c r="E31" s="324">
        <f t="shared" si="8"/>
        <v>0</v>
      </c>
      <c r="F31" s="324">
        <f t="shared" si="9"/>
        <v>0</v>
      </c>
      <c r="G31" s="324">
        <f t="shared" si="10"/>
        <v>0</v>
      </c>
      <c r="H31" s="324">
        <f t="shared" si="11"/>
        <v>0</v>
      </c>
      <c r="I31" s="324">
        <f t="shared" si="12"/>
        <v>0</v>
      </c>
      <c r="J31" s="324">
        <f t="shared" si="13"/>
        <v>0</v>
      </c>
      <c r="K31" s="97"/>
    </row>
    <row r="32" spans="1:11" ht="14.25">
      <c r="A32" s="286" t="s">
        <v>681</v>
      </c>
      <c r="B32" s="328">
        <f t="shared" si="5"/>
        <v>-0.03125401368333205</v>
      </c>
      <c r="C32" s="328">
        <f t="shared" si="6"/>
        <v>0.12053764832607777</v>
      </c>
      <c r="D32" s="328">
        <f t="shared" si="7"/>
        <v>0.01610871664488722</v>
      </c>
      <c r="E32" s="328">
        <f t="shared" si="8"/>
        <v>0.026568589613359738</v>
      </c>
      <c r="F32" s="328">
        <f t="shared" si="9"/>
        <v>0.0035245871298248826</v>
      </c>
      <c r="G32" s="328">
        <f t="shared" si="10"/>
        <v>-0.004050458591132794</v>
      </c>
      <c r="H32" s="328">
        <f t="shared" si="11"/>
        <v>0.036821290888341865</v>
      </c>
      <c r="I32" s="328">
        <f t="shared" si="12"/>
        <v>0.004533070481472983</v>
      </c>
      <c r="J32" s="328">
        <f t="shared" si="13"/>
        <v>0.018823890896809206</v>
      </c>
      <c r="K32" s="327"/>
    </row>
    <row r="33" spans="1:11" ht="14.25">
      <c r="A33" s="97" t="s">
        <v>301</v>
      </c>
      <c r="B33" s="324">
        <f t="shared" si="5"/>
        <v>-0.030932630482246398</v>
      </c>
      <c r="C33" s="324">
        <f t="shared" si="6"/>
        <v>0.12086345837003082</v>
      </c>
      <c r="D33" s="324">
        <f t="shared" si="7"/>
        <v>0.01643837359572971</v>
      </c>
      <c r="E33" s="324">
        <f t="shared" si="8"/>
        <v>0.026880692377075605</v>
      </c>
      <c r="F33" s="324">
        <f t="shared" si="9"/>
        <v>0.0037832956796773174</v>
      </c>
      <c r="G33" s="324">
        <f t="shared" si="10"/>
        <v>-0.0033129826069636234</v>
      </c>
      <c r="H33" s="324">
        <f t="shared" si="11"/>
        <v>0.03758917848618645</v>
      </c>
      <c r="I33" s="324">
        <f t="shared" si="12"/>
        <v>0.00530398796258528</v>
      </c>
      <c r="J33" s="324">
        <f t="shared" si="13"/>
        <v>0.019304864075319193</v>
      </c>
      <c r="K33" s="97"/>
    </row>
    <row r="34" spans="1:10" ht="14.25">
      <c r="A34" s="97"/>
      <c r="B34" s="324"/>
      <c r="C34" s="324"/>
      <c r="D34" s="324"/>
      <c r="E34" s="324"/>
      <c r="F34" s="324"/>
      <c r="G34" s="324"/>
      <c r="H34" s="324"/>
      <c r="I34" s="324"/>
      <c r="J34" s="324"/>
    </row>
    <row r="35" spans="1:10" ht="14.25">
      <c r="A35" s="97" t="s">
        <v>679</v>
      </c>
      <c r="B35" s="329">
        <f t="shared" si="5"/>
        <v>413.8096160990445</v>
      </c>
      <c r="C35" s="329">
        <f t="shared" si="6"/>
        <v>274.6221792236259</v>
      </c>
      <c r="D35" s="329">
        <f t="shared" si="7"/>
        <v>290.05127243489477</v>
      </c>
      <c r="E35" s="329">
        <f t="shared" si="8"/>
        <v>223.57186315506164</v>
      </c>
      <c r="F35" s="329">
        <f t="shared" si="9"/>
        <v>274.4904202727614</v>
      </c>
      <c r="G35" s="329">
        <f t="shared" si="10"/>
        <v>193.51093929904889</v>
      </c>
      <c r="H35" s="329">
        <f t="shared" si="11"/>
        <v>448.31891354646086</v>
      </c>
      <c r="I35" s="329">
        <f t="shared" si="12"/>
        <v>253.14028496520626</v>
      </c>
      <c r="J35" s="329">
        <f t="shared" si="13"/>
        <v>2371.5154889961045</v>
      </c>
    </row>
    <row r="36" spans="1:10" ht="14.25">
      <c r="A36" s="99"/>
      <c r="B36" s="330"/>
      <c r="C36" s="330"/>
      <c r="D36" s="330"/>
      <c r="E36" s="330"/>
      <c r="F36" s="330"/>
      <c r="G36" s="330"/>
      <c r="H36" s="330"/>
      <c r="I36" s="330"/>
      <c r="J36" s="330"/>
    </row>
    <row r="37" ht="14.25">
      <c r="A37" s="221"/>
    </row>
    <row r="38" ht="14.25" hidden="1">
      <c r="A38" s="221"/>
    </row>
    <row r="39" ht="14.25" hidden="1">
      <c r="A39" s="221"/>
    </row>
    <row r="40" ht="14.25" hidden="1">
      <c r="A40" s="221"/>
    </row>
    <row r="41" ht="14.25" hidden="1">
      <c r="A41" s="221"/>
    </row>
    <row r="42" ht="14.25" hidden="1">
      <c r="A42" s="221"/>
    </row>
    <row r="43" ht="14.25" hidden="1">
      <c r="A43" s="221"/>
    </row>
    <row r="44" ht="14.25" hidden="1">
      <c r="A44" s="221"/>
    </row>
    <row r="45" ht="14.25" hidden="1">
      <c r="A45" s="221"/>
    </row>
    <row r="46" ht="14.25" hidden="1">
      <c r="A46" s="221"/>
    </row>
    <row r="47" ht="14.25" hidden="1">
      <c r="A47" s="221"/>
    </row>
    <row r="48" ht="14.25" hidden="1">
      <c r="A48" s="221"/>
    </row>
    <row r="49" ht="14.25" hidden="1">
      <c r="A49" s="221"/>
    </row>
    <row r="50" ht="14.25" hidden="1">
      <c r="A50" s="221"/>
    </row>
    <row r="51" ht="14.25" hidden="1">
      <c r="A51" s="221"/>
    </row>
    <row r="52" ht="14.25" hidden="1">
      <c r="A52" s="221"/>
    </row>
    <row r="53" ht="14.25" hidden="1">
      <c r="A53" s="221"/>
    </row>
    <row r="54" ht="14.25" hidden="1">
      <c r="A54" s="221"/>
    </row>
    <row r="55" ht="14.25" hidden="1">
      <c r="A55" s="221"/>
    </row>
    <row r="56" ht="14.25" hidden="1">
      <c r="A56" s="221"/>
    </row>
    <row r="57" ht="14.25" hidden="1">
      <c r="A57" s="221"/>
    </row>
    <row r="58" ht="14.25" hidden="1">
      <c r="A58" s="221"/>
    </row>
    <row r="59" ht="14.25" hidden="1">
      <c r="A59" s="221"/>
    </row>
    <row r="60" ht="14.25" hidden="1">
      <c r="A60" s="221"/>
    </row>
    <row r="61" spans="1:6" ht="14.25">
      <c r="A61" s="267" t="s">
        <v>583</v>
      </c>
      <c r="B61" s="98"/>
      <c r="C61" s="98"/>
      <c r="D61" s="98"/>
      <c r="E61" s="98"/>
      <c r="F61" s="98"/>
    </row>
    <row r="62" spans="1:6" ht="14.25">
      <c r="A62" s="274" t="s">
        <v>583</v>
      </c>
      <c r="B62" s="307"/>
      <c r="C62" s="307"/>
      <c r="D62" s="307"/>
      <c r="E62" s="307"/>
      <c r="F62" s="276"/>
    </row>
    <row r="63" spans="1:6" ht="14.25">
      <c r="A63" s="280" t="s">
        <v>365</v>
      </c>
      <c r="B63" s="278" t="s">
        <v>92</v>
      </c>
      <c r="C63" s="278" t="s">
        <v>93</v>
      </c>
      <c r="D63" s="278" t="s">
        <v>94</v>
      </c>
      <c r="E63" s="278" t="s">
        <v>95</v>
      </c>
      <c r="F63" s="281" t="s">
        <v>131</v>
      </c>
    </row>
    <row r="64" spans="1:6" ht="14.25">
      <c r="A64" s="159" t="s">
        <v>372</v>
      </c>
      <c r="B64" s="265">
        <v>-0.027656073889451092</v>
      </c>
      <c r="C64" s="265">
        <v>-0.004904986446669704</v>
      </c>
      <c r="D64" s="265">
        <v>-0.005550293090663091</v>
      </c>
      <c r="E64" s="265">
        <v>-0.005781308335585231</v>
      </c>
      <c r="F64" s="283">
        <v>-0.001816957016099902</v>
      </c>
    </row>
    <row r="65" spans="1:6" ht="14.25">
      <c r="A65" s="159" t="s">
        <v>436</v>
      </c>
      <c r="B65" s="160">
        <v>-0.0003213832010856495</v>
      </c>
      <c r="C65" s="160">
        <v>-0.0003236602688979087</v>
      </c>
      <c r="D65" s="160">
        <v>-0.0003123623225513806</v>
      </c>
      <c r="E65" s="160">
        <v>-0.0003036248842320414</v>
      </c>
      <c r="F65" s="284">
        <v>-0.00029404190534590706</v>
      </c>
    </row>
    <row r="66" spans="1:6" ht="14.25">
      <c r="A66" s="159" t="s">
        <v>11</v>
      </c>
      <c r="B66" s="160">
        <v>-0.010263012762210052</v>
      </c>
      <c r="C66" s="160">
        <v>0.010992149441050467</v>
      </c>
      <c r="D66" s="160">
        <v>0.0016714210723228317</v>
      </c>
      <c r="E66" s="160">
        <v>0.005525725549556053</v>
      </c>
      <c r="F66" s="284">
        <v>0.0028524882575594553</v>
      </c>
    </row>
    <row r="67" spans="1:6" ht="14.25">
      <c r="A67" s="159" t="s">
        <v>665</v>
      </c>
      <c r="B67" s="160">
        <v>0.000279100803915913</v>
      </c>
      <c r="C67" s="160">
        <v>0.0007806770481811871</v>
      </c>
      <c r="D67" s="160">
        <v>0.0007693864784722596</v>
      </c>
      <c r="E67" s="160">
        <v>0.001278496571938979</v>
      </c>
      <c r="F67" s="284">
        <v>0.001673558619120235</v>
      </c>
    </row>
    <row r="68" spans="1:6" ht="14.25">
      <c r="A68" s="159" t="s">
        <v>373</v>
      </c>
      <c r="B68" s="160">
        <v>0.00414834631325943</v>
      </c>
      <c r="C68" s="160">
        <v>0.0026777122574301107</v>
      </c>
      <c r="D68" s="160">
        <v>0.0033669421778260104</v>
      </c>
      <c r="E68" s="160">
        <v>0.005319933403178796</v>
      </c>
      <c r="F68" s="284">
        <v>0.003295452924187063</v>
      </c>
    </row>
    <row r="69" spans="1:6" ht="14.25">
      <c r="A69" s="159" t="s">
        <v>496</v>
      </c>
      <c r="B69" s="160">
        <v>0.003477815608770466</v>
      </c>
      <c r="C69" s="160">
        <v>9.77546725366582E-05</v>
      </c>
      <c r="D69" s="160">
        <v>0.00018242210404080406</v>
      </c>
      <c r="E69" s="160">
        <v>0.0003162439508257117</v>
      </c>
      <c r="F69" s="284">
        <v>-0.00012817735274732095</v>
      </c>
    </row>
    <row r="70" spans="1:6" ht="14.25">
      <c r="A70" s="286" t="s">
        <v>770</v>
      </c>
      <c r="B70" s="287">
        <v>-0.03033520712680099</v>
      </c>
      <c r="C70" s="287">
        <v>0.009319646703630809</v>
      </c>
      <c r="D70" s="287">
        <v>0.00012751641944743416</v>
      </c>
      <c r="E70" s="287">
        <v>0.006355466255682267</v>
      </c>
      <c r="F70" s="288">
        <v>0.005582323526673623</v>
      </c>
    </row>
    <row r="71" spans="1:6" ht="14.25">
      <c r="A71" s="97" t="s">
        <v>435</v>
      </c>
      <c r="B71" s="160">
        <v>0.018969907772168573</v>
      </c>
      <c r="C71" s="160">
        <v>0.0015772931665824614</v>
      </c>
      <c r="D71" s="160">
        <v>0.003557442042359773</v>
      </c>
      <c r="E71" s="160">
        <v>0.0010499200695417868</v>
      </c>
      <c r="F71" s="284">
        <v>0.0038258146208407966</v>
      </c>
    </row>
    <row r="72" spans="1:6" ht="14.25">
      <c r="A72" s="97" t="s">
        <v>682</v>
      </c>
      <c r="B72" s="265">
        <v>-0.019888714328699632</v>
      </c>
      <c r="C72" s="265">
        <v>0</v>
      </c>
      <c r="D72" s="265">
        <v>0</v>
      </c>
      <c r="E72" s="265">
        <v>0</v>
      </c>
      <c r="F72" s="283">
        <v>0</v>
      </c>
    </row>
    <row r="73" spans="1:6" ht="14.25">
      <c r="A73" s="286" t="s">
        <v>680</v>
      </c>
      <c r="B73" s="291">
        <v>-0.03125401368333205</v>
      </c>
      <c r="C73" s="291">
        <v>0.01089693987021327</v>
      </c>
      <c r="D73" s="291">
        <v>0.003684958461807207</v>
      </c>
      <c r="E73" s="291">
        <v>0.007405386325224053</v>
      </c>
      <c r="F73" s="292">
        <v>0.00940813814751442</v>
      </c>
    </row>
    <row r="74" spans="1:6" ht="14.25">
      <c r="A74" s="159" t="s">
        <v>597</v>
      </c>
      <c r="B74" s="160">
        <v>0</v>
      </c>
      <c r="C74" s="160">
        <v>0</v>
      </c>
      <c r="D74" s="160">
        <v>0</v>
      </c>
      <c r="E74" s="160">
        <v>0</v>
      </c>
      <c r="F74" s="284">
        <v>0</v>
      </c>
    </row>
    <row r="75" spans="1:6" ht="14.25">
      <c r="A75" s="286" t="s">
        <v>681</v>
      </c>
      <c r="B75" s="287">
        <v>-0.03125401368333205</v>
      </c>
      <c r="C75" s="287">
        <v>0.01089693987021327</v>
      </c>
      <c r="D75" s="287">
        <v>0.003684958461807207</v>
      </c>
      <c r="E75" s="287">
        <v>0.007405386325224053</v>
      </c>
      <c r="F75" s="288">
        <v>0.00940813814751442</v>
      </c>
    </row>
    <row r="76" spans="1:6" ht="14.25">
      <c r="A76" s="97" t="s">
        <v>301</v>
      </c>
      <c r="B76" s="293">
        <v>-0.030932630482246398</v>
      </c>
      <c r="C76" s="293">
        <v>0.01122060013911118</v>
      </c>
      <c r="D76" s="293">
        <v>0.003997320784358587</v>
      </c>
      <c r="E76" s="293">
        <v>0.007709011209456095</v>
      </c>
      <c r="F76" s="294">
        <v>0.009702180052860328</v>
      </c>
    </row>
    <row r="77" spans="1:6" ht="14.25">
      <c r="A77" s="97"/>
      <c r="B77" s="160"/>
      <c r="C77" s="295"/>
      <c r="D77" s="295"/>
      <c r="E77" s="295"/>
      <c r="F77" s="296"/>
    </row>
    <row r="78" spans="1:6" ht="14.25">
      <c r="A78" s="97" t="s">
        <v>679</v>
      </c>
      <c r="B78" s="151">
        <v>413.8096160990445</v>
      </c>
      <c r="C78" s="151">
        <v>418.3188746033918</v>
      </c>
      <c r="D78" s="151">
        <v>419.8603622800953</v>
      </c>
      <c r="E78" s="151">
        <v>422.96959046542787</v>
      </c>
      <c r="F78" s="297">
        <v>426.9489468047243</v>
      </c>
    </row>
    <row r="79" spans="1:6" ht="14.25">
      <c r="A79" s="99" t="s">
        <v>486</v>
      </c>
      <c r="B79" s="298" t="s">
        <v>363</v>
      </c>
      <c r="C79" s="298" t="s">
        <v>363</v>
      </c>
      <c r="D79" s="298" t="s">
        <v>363</v>
      </c>
      <c r="E79" s="298" t="s">
        <v>363</v>
      </c>
      <c r="F79" s="299" t="s">
        <v>363</v>
      </c>
    </row>
    <row r="80" spans="1:6" ht="14.25">
      <c r="A80" s="267"/>
      <c r="B80" s="98"/>
      <c r="C80" s="98"/>
      <c r="D80" s="98"/>
      <c r="E80" s="98"/>
      <c r="F80" s="98"/>
    </row>
    <row r="81" spans="1:6" ht="14.25">
      <c r="A81" s="267" t="s">
        <v>491</v>
      </c>
      <c r="B81" s="279"/>
      <c r="C81" s="279"/>
      <c r="D81" s="279"/>
      <c r="E81" s="279"/>
      <c r="F81" s="279"/>
    </row>
    <row r="82" spans="1:6" ht="14.25">
      <c r="A82" s="274" t="s">
        <v>491</v>
      </c>
      <c r="B82" s="307"/>
      <c r="C82" s="307"/>
      <c r="D82" s="307"/>
      <c r="E82" s="307"/>
      <c r="F82" s="276"/>
    </row>
    <row r="83" spans="1:6" ht="14.25">
      <c r="A83" s="280" t="s">
        <v>365</v>
      </c>
      <c r="B83" s="278" t="s">
        <v>92</v>
      </c>
      <c r="C83" s="278" t="s">
        <v>93</v>
      </c>
      <c r="D83" s="278" t="s">
        <v>94</v>
      </c>
      <c r="E83" s="278" t="s">
        <v>95</v>
      </c>
      <c r="F83" s="281" t="s">
        <v>131</v>
      </c>
    </row>
    <row r="84" spans="1:6" ht="14.25">
      <c r="A84" s="159" t="s">
        <v>372</v>
      </c>
      <c r="B84" s="265">
        <v>0.014570524354987988</v>
      </c>
      <c r="C84" s="265">
        <v>-0.011740520450631245</v>
      </c>
      <c r="D84" s="265">
        <v>-0.003966971444516563</v>
      </c>
      <c r="E84" s="265">
        <v>-0.005512603406919849</v>
      </c>
      <c r="F84" s="283">
        <v>-0.003695495962213817</v>
      </c>
    </row>
    <row r="85" spans="1:6" ht="14.25">
      <c r="A85" s="159" t="s">
        <v>436</v>
      </c>
      <c r="B85" s="160">
        <v>-0.00032581004395304644</v>
      </c>
      <c r="C85" s="160">
        <v>-0.0002836704844232967</v>
      </c>
      <c r="D85" s="160">
        <v>-0.0002807017453664202</v>
      </c>
      <c r="E85" s="160">
        <v>-0.0002689445556153763</v>
      </c>
      <c r="F85" s="284">
        <v>-0.00025929968870413636</v>
      </c>
    </row>
    <row r="86" spans="1:6" ht="14.25">
      <c r="A86" s="159" t="s">
        <v>11</v>
      </c>
      <c r="B86" s="160">
        <v>0.11577725312970037</v>
      </c>
      <c r="C86" s="160">
        <v>-0.012629987680055282</v>
      </c>
      <c r="D86" s="160">
        <v>0.01262722888100857</v>
      </c>
      <c r="E86" s="160">
        <v>0.007354180244314652</v>
      </c>
      <c r="F86" s="284">
        <v>-0.003065518018626119</v>
      </c>
    </row>
    <row r="87" spans="1:6" ht="14.25">
      <c r="A87" s="159" t="s">
        <v>665</v>
      </c>
      <c r="B87" s="160">
        <v>0.014620175875352791</v>
      </c>
      <c r="C87" s="160">
        <v>0.008146275218657545</v>
      </c>
      <c r="D87" s="160">
        <v>0.005276014905352038</v>
      </c>
      <c r="E87" s="160">
        <v>0.003787228803572004</v>
      </c>
      <c r="F87" s="284">
        <v>0.004035109631814758</v>
      </c>
    </row>
    <row r="88" spans="1:6" ht="14.25">
      <c r="A88" s="159" t="s">
        <v>373</v>
      </c>
      <c r="B88" s="160">
        <v>-0.0006237865318247631</v>
      </c>
      <c r="C88" s="160">
        <v>0.002982218918713021</v>
      </c>
      <c r="D88" s="160">
        <v>0.004375314790783387</v>
      </c>
      <c r="E88" s="160">
        <v>0.006285870635242122</v>
      </c>
      <c r="F88" s="284">
        <v>0.005311913298759531</v>
      </c>
    </row>
    <row r="89" spans="1:6" ht="14.25">
      <c r="A89" s="159" t="s">
        <v>496</v>
      </c>
      <c r="B89" s="160">
        <v>0.005718449197258776</v>
      </c>
      <c r="C89" s="160">
        <v>-0.0006149682876289361</v>
      </c>
      <c r="D89" s="160">
        <v>0.00022866147910346947</v>
      </c>
      <c r="E89" s="160">
        <v>0.00025263815004499115</v>
      </c>
      <c r="F89" s="284">
        <v>-0.0004256752501079446</v>
      </c>
    </row>
    <row r="90" spans="1:6" ht="14.25">
      <c r="A90" s="286" t="s">
        <v>770</v>
      </c>
      <c r="B90" s="287">
        <v>0.14973680598152214</v>
      </c>
      <c r="C90" s="287">
        <v>-0.014140652765368194</v>
      </c>
      <c r="D90" s="287">
        <v>0.01825954686636448</v>
      </c>
      <c r="E90" s="287">
        <v>0.011898369870638545</v>
      </c>
      <c r="F90" s="288">
        <v>0.0019010340109222724</v>
      </c>
    </row>
    <row r="91" spans="1:6" ht="14.25">
      <c r="A91" s="97" t="s">
        <v>435</v>
      </c>
      <c r="B91" s="160">
        <v>-0.00888826051574346</v>
      </c>
      <c r="C91" s="160">
        <v>0</v>
      </c>
      <c r="D91" s="160">
        <v>0</v>
      </c>
      <c r="E91" s="160">
        <v>0</v>
      </c>
      <c r="F91" s="284">
        <v>0</v>
      </c>
    </row>
    <row r="92" spans="1:6" ht="14.25">
      <c r="A92" s="97" t="s">
        <v>682</v>
      </c>
      <c r="B92" s="265">
        <v>-0.020310897139700915</v>
      </c>
      <c r="C92" s="265">
        <v>6.858762381363731E-05</v>
      </c>
      <c r="D92" s="265">
        <v>0</v>
      </c>
      <c r="E92" s="265">
        <v>0</v>
      </c>
      <c r="F92" s="283">
        <v>0</v>
      </c>
    </row>
    <row r="93" spans="1:6" ht="14.25">
      <c r="A93" s="286" t="s">
        <v>680</v>
      </c>
      <c r="B93" s="291">
        <v>0.12053764832607777</v>
      </c>
      <c r="C93" s="291">
        <v>-0.014072065141554556</v>
      </c>
      <c r="D93" s="291">
        <v>0.01825954686636448</v>
      </c>
      <c r="E93" s="291">
        <v>0.011898369870638545</v>
      </c>
      <c r="F93" s="292">
        <v>0.0019010340109222724</v>
      </c>
    </row>
    <row r="94" spans="1:6" ht="14.25">
      <c r="A94" s="159" t="s">
        <v>597</v>
      </c>
      <c r="B94" s="160">
        <v>0</v>
      </c>
      <c r="C94" s="160">
        <v>0</v>
      </c>
      <c r="D94" s="160">
        <v>0</v>
      </c>
      <c r="E94" s="160">
        <v>0</v>
      </c>
      <c r="F94" s="284">
        <v>0</v>
      </c>
    </row>
    <row r="95" spans="1:6" ht="14.25">
      <c r="A95" s="286" t="s">
        <v>681</v>
      </c>
      <c r="B95" s="287">
        <v>0.12053764832607777</v>
      </c>
      <c r="C95" s="287">
        <v>-0.014072065141554556</v>
      </c>
      <c r="D95" s="287">
        <v>0.01825954686636448</v>
      </c>
      <c r="E95" s="287">
        <v>0.011898369870638545</v>
      </c>
      <c r="F95" s="288">
        <v>0.0019010340109222724</v>
      </c>
    </row>
    <row r="96" spans="1:6" ht="14.25">
      <c r="A96" s="97" t="s">
        <v>301</v>
      </c>
      <c r="B96" s="293">
        <v>0.12086345837003082</v>
      </c>
      <c r="C96" s="293">
        <v>-0.01378839465713126</v>
      </c>
      <c r="D96" s="293">
        <v>0.0185402486117309</v>
      </c>
      <c r="E96" s="293">
        <v>0.012167314426253921</v>
      </c>
      <c r="F96" s="294">
        <v>0.002160333699626409</v>
      </c>
    </row>
    <row r="97" spans="1:6" ht="14.25">
      <c r="A97" s="97"/>
      <c r="B97" s="160"/>
      <c r="C97" s="295"/>
      <c r="D97" s="295"/>
      <c r="E97" s="295"/>
      <c r="F97" s="296"/>
    </row>
    <row r="98" spans="1:6" ht="14.25">
      <c r="A98" s="97" t="s">
        <v>679</v>
      </c>
      <c r="B98" s="151">
        <v>274.6221792236259</v>
      </c>
      <c r="C98" s="151">
        <v>270.7576780282753</v>
      </c>
      <c r="D98" s="151">
        <v>275.7015905396606</v>
      </c>
      <c r="E98" s="151">
        <v>278.9819900378248</v>
      </c>
      <c r="F98" s="297">
        <v>279.51234428932156</v>
      </c>
    </row>
    <row r="99" spans="1:6" ht="14.25">
      <c r="A99" s="99" t="s">
        <v>486</v>
      </c>
      <c r="B99" s="298" t="s">
        <v>363</v>
      </c>
      <c r="C99" s="298" t="s">
        <v>363</v>
      </c>
      <c r="D99" s="298" t="s">
        <v>363</v>
      </c>
      <c r="E99" s="298" t="s">
        <v>363</v>
      </c>
      <c r="F99" s="299" t="s">
        <v>363</v>
      </c>
    </row>
    <row r="100" spans="1:6" ht="14.25">
      <c r="A100" s="267"/>
      <c r="B100" s="279"/>
      <c r="C100" s="279"/>
      <c r="D100" s="279"/>
      <c r="E100" s="279"/>
      <c r="F100" s="279"/>
    </row>
    <row r="101" spans="1:6" ht="14.25">
      <c r="A101" s="98" t="s">
        <v>485</v>
      </c>
      <c r="B101" s="140"/>
      <c r="C101" s="140"/>
      <c r="D101" s="140"/>
      <c r="E101" s="140"/>
      <c r="F101" s="140"/>
    </row>
    <row r="102" spans="1:6" ht="14.25">
      <c r="A102" s="274" t="s">
        <v>485</v>
      </c>
      <c r="B102" s="307"/>
      <c r="C102" s="307"/>
      <c r="D102" s="307"/>
      <c r="E102" s="307"/>
      <c r="F102" s="276"/>
    </row>
    <row r="103" spans="1:6" ht="14.25">
      <c r="A103" s="280" t="s">
        <v>365</v>
      </c>
      <c r="B103" s="278" t="s">
        <v>92</v>
      </c>
      <c r="C103" s="278" t="s">
        <v>93</v>
      </c>
      <c r="D103" s="278" t="s">
        <v>94</v>
      </c>
      <c r="E103" s="278" t="s">
        <v>95</v>
      </c>
      <c r="F103" s="281" t="s">
        <v>131</v>
      </c>
    </row>
    <row r="104" spans="1:6" ht="14.25">
      <c r="A104" s="159" t="s">
        <v>372</v>
      </c>
      <c r="B104" s="265">
        <v>-0.0053227011527543075</v>
      </c>
      <c r="C104" s="265">
        <v>-0.00239929932593785</v>
      </c>
      <c r="D104" s="265">
        <v>-0.004529495686195704</v>
      </c>
      <c r="E104" s="265">
        <v>-0.007287886523426857</v>
      </c>
      <c r="F104" s="283">
        <v>0.0008278985027349406</v>
      </c>
    </row>
    <row r="105" spans="1:6" ht="14.25">
      <c r="A105" s="159" t="s">
        <v>436</v>
      </c>
      <c r="B105" s="160">
        <v>-0.00032965695084249215</v>
      </c>
      <c r="C105" s="160">
        <v>-0.00031651784119054196</v>
      </c>
      <c r="D105" s="160">
        <v>-0.00030799168680539047</v>
      </c>
      <c r="E105" s="160">
        <v>-0.000299871807738466</v>
      </c>
      <c r="F105" s="284">
        <v>-0.0002906201069211898</v>
      </c>
    </row>
    <row r="106" spans="1:6" ht="14.25">
      <c r="A106" s="159" t="s">
        <v>11</v>
      </c>
      <c r="B106" s="160">
        <v>0.02886822115974029</v>
      </c>
      <c r="C106" s="160">
        <v>0.002236305773693381</v>
      </c>
      <c r="D106" s="160">
        <v>0.0009537700236471846</v>
      </c>
      <c r="E106" s="160">
        <v>0.004713320952349835</v>
      </c>
      <c r="F106" s="284">
        <v>-0.004529195348830032</v>
      </c>
    </row>
    <row r="107" spans="1:6" ht="14.25">
      <c r="A107" s="159" t="s">
        <v>665</v>
      </c>
      <c r="B107" s="160">
        <v>0.003238473547535942</v>
      </c>
      <c r="C107" s="160">
        <v>0.002291767922174297</v>
      </c>
      <c r="D107" s="160">
        <v>0.002605407194060284</v>
      </c>
      <c r="E107" s="160">
        <v>0.002929789945981394</v>
      </c>
      <c r="F107" s="284">
        <v>0.002542856626756593</v>
      </c>
    </row>
    <row r="108" spans="1:6" ht="14.25">
      <c r="A108" s="159" t="s">
        <v>373</v>
      </c>
      <c r="B108" s="160">
        <v>0.004040410981866168</v>
      </c>
      <c r="C108" s="160">
        <v>0.0008950419217960358</v>
      </c>
      <c r="D108" s="160">
        <v>0.0031610318735844976</v>
      </c>
      <c r="E108" s="160">
        <v>0.0064835142682322785</v>
      </c>
      <c r="F108" s="284">
        <v>0.005556123618309232</v>
      </c>
    </row>
    <row r="109" spans="1:6" ht="14.25">
      <c r="A109" s="159" t="s">
        <v>496</v>
      </c>
      <c r="B109" s="160">
        <v>0.004894591203402758</v>
      </c>
      <c r="C109" s="160">
        <v>-8.168680680647714E-05</v>
      </c>
      <c r="D109" s="160">
        <v>0.00014443351983163476</v>
      </c>
      <c r="E109" s="160">
        <v>0.0001287870567002776</v>
      </c>
      <c r="F109" s="284">
        <v>-0.00030456917676800825</v>
      </c>
    </row>
    <row r="110" spans="1:6" ht="14.25">
      <c r="A110" s="286" t="s">
        <v>770</v>
      </c>
      <c r="B110" s="287">
        <v>0.03538933878894836</v>
      </c>
      <c r="C110" s="287">
        <v>0.002625611643728845</v>
      </c>
      <c r="D110" s="287">
        <v>0.0020271552381225058</v>
      </c>
      <c r="E110" s="287">
        <v>0.006667653892098463</v>
      </c>
      <c r="F110" s="288">
        <v>0.003802494115281535</v>
      </c>
    </row>
    <row r="111" spans="1:6" ht="14.25">
      <c r="A111" s="97" t="s">
        <v>435</v>
      </c>
      <c r="B111" s="160">
        <v>8.264185536490274E-05</v>
      </c>
      <c r="C111" s="160">
        <v>0</v>
      </c>
      <c r="D111" s="160">
        <v>0</v>
      </c>
      <c r="E111" s="160">
        <v>0</v>
      </c>
      <c r="F111" s="284">
        <v>0.0005314717639143618</v>
      </c>
    </row>
    <row r="112" spans="1:6" ht="14.25">
      <c r="A112" s="97" t="s">
        <v>682</v>
      </c>
      <c r="B112" s="265">
        <v>-0.019363263999426044</v>
      </c>
      <c r="C112" s="265">
        <v>-7.985670083088301E-06</v>
      </c>
      <c r="D112" s="265">
        <v>0</v>
      </c>
      <c r="E112" s="265">
        <v>0</v>
      </c>
      <c r="F112" s="283">
        <v>0</v>
      </c>
    </row>
    <row r="113" spans="1:6" ht="14.25">
      <c r="A113" s="286" t="s">
        <v>680</v>
      </c>
      <c r="B113" s="291">
        <v>0.01610871664488722</v>
      </c>
      <c r="C113" s="291">
        <v>0.0026176259736457566</v>
      </c>
      <c r="D113" s="291">
        <v>0.0020271552381225058</v>
      </c>
      <c r="E113" s="291">
        <v>0.006667653892098463</v>
      </c>
      <c r="F113" s="292">
        <v>0.004333965879195897</v>
      </c>
    </row>
    <row r="114" spans="1:6" ht="14.25">
      <c r="A114" s="159" t="s">
        <v>597</v>
      </c>
      <c r="B114" s="160">
        <v>0</v>
      </c>
      <c r="C114" s="160">
        <v>0</v>
      </c>
      <c r="D114" s="160">
        <v>0</v>
      </c>
      <c r="E114" s="160">
        <v>0</v>
      </c>
      <c r="F114" s="284">
        <v>0</v>
      </c>
    </row>
    <row r="115" spans="1:6" ht="14.25">
      <c r="A115" s="286" t="s">
        <v>681</v>
      </c>
      <c r="B115" s="287">
        <v>0.01610871664488722</v>
      </c>
      <c r="C115" s="287">
        <v>0.0026176259736457566</v>
      </c>
      <c r="D115" s="287">
        <v>0.0020271552381225058</v>
      </c>
      <c r="E115" s="287">
        <v>0.006667653892098463</v>
      </c>
      <c r="F115" s="288">
        <v>0.004333965879195897</v>
      </c>
    </row>
    <row r="116" spans="1:6" ht="14.25">
      <c r="A116" s="97" t="s">
        <v>301</v>
      </c>
      <c r="B116" s="293">
        <v>0.01643837359572971</v>
      </c>
      <c r="C116" s="293">
        <v>0.0029341438148362984</v>
      </c>
      <c r="D116" s="293">
        <v>0.002335146924927896</v>
      </c>
      <c r="E116" s="293">
        <v>0.0069675256998369284</v>
      </c>
      <c r="F116" s="294">
        <v>0.004624585986117087</v>
      </c>
    </row>
    <row r="117" spans="1:6" ht="14.25">
      <c r="A117" s="97"/>
      <c r="B117" s="160"/>
      <c r="C117" s="295"/>
      <c r="D117" s="295"/>
      <c r="E117" s="295"/>
      <c r="F117" s="296"/>
    </row>
    <row r="118" spans="1:6" ht="14.25">
      <c r="A118" s="97" t="s">
        <v>679</v>
      </c>
      <c r="B118" s="151">
        <v>290.05127243489477</v>
      </c>
      <c r="C118" s="151">
        <v>290.8105181793094</v>
      </c>
      <c r="D118" s="151">
        <v>291.4000362445378</v>
      </c>
      <c r="E118" s="151">
        <v>293.34299083036126</v>
      </c>
      <c r="F118" s="297">
        <v>294.6143293435213</v>
      </c>
    </row>
    <row r="119" spans="1:6" ht="14.25">
      <c r="A119" s="99" t="s">
        <v>486</v>
      </c>
      <c r="B119" s="298" t="s">
        <v>363</v>
      </c>
      <c r="C119" s="298" t="s">
        <v>363</v>
      </c>
      <c r="D119" s="298" t="s">
        <v>363</v>
      </c>
      <c r="E119" s="298" t="s">
        <v>363</v>
      </c>
      <c r="F119" s="299" t="s">
        <v>363</v>
      </c>
    </row>
    <row r="120" spans="1:6" ht="14.25">
      <c r="A120" s="98"/>
      <c r="B120" s="140"/>
      <c r="C120" s="140"/>
      <c r="D120" s="140"/>
      <c r="E120" s="140"/>
      <c r="F120" s="140"/>
    </row>
    <row r="121" spans="1:6" ht="14.25">
      <c r="A121" s="98" t="s">
        <v>489</v>
      </c>
      <c r="B121" s="425"/>
      <c r="C121" s="425"/>
      <c r="D121" s="425"/>
      <c r="E121" s="425"/>
      <c r="F121" s="425"/>
    </row>
    <row r="122" spans="1:6" ht="14.25">
      <c r="A122" s="274" t="s">
        <v>489</v>
      </c>
      <c r="B122" s="307"/>
      <c r="C122" s="307"/>
      <c r="D122" s="307"/>
      <c r="E122" s="307"/>
      <c r="F122" s="276"/>
    </row>
    <row r="123" spans="1:6" ht="14.25">
      <c r="A123" s="280" t="s">
        <v>365</v>
      </c>
      <c r="B123" s="278" t="s">
        <v>92</v>
      </c>
      <c r="C123" s="278" t="s">
        <v>93</v>
      </c>
      <c r="D123" s="278" t="s">
        <v>94</v>
      </c>
      <c r="E123" s="278" t="s">
        <v>95</v>
      </c>
      <c r="F123" s="281" t="s">
        <v>131</v>
      </c>
    </row>
    <row r="124" spans="1:6" ht="14.25">
      <c r="A124" s="159" t="s">
        <v>372</v>
      </c>
      <c r="B124" s="265">
        <v>-0.008078657535180197</v>
      </c>
      <c r="C124" s="265">
        <v>0.040509698259601185</v>
      </c>
      <c r="D124" s="265">
        <v>-0.04618247430783882</v>
      </c>
      <c r="E124" s="265">
        <v>-0.00837746334193803</v>
      </c>
      <c r="F124" s="283">
        <v>-0.003399540652487417</v>
      </c>
    </row>
    <row r="125" spans="1:6" ht="14.25">
      <c r="A125" s="159" t="s">
        <v>436</v>
      </c>
      <c r="B125" s="160">
        <v>-0.0003121027637158656</v>
      </c>
      <c r="C125" s="160">
        <v>-0.0002966099920326749</v>
      </c>
      <c r="D125" s="160">
        <v>-0.0002777124713462323</v>
      </c>
      <c r="E125" s="160">
        <v>-0.0002831493530548748</v>
      </c>
      <c r="F125" s="284">
        <v>-0.0002739662263306933</v>
      </c>
    </row>
    <row r="126" spans="1:6" ht="14.25">
      <c r="A126" s="159" t="s">
        <v>11</v>
      </c>
      <c r="B126" s="160">
        <v>0.04786278365668993</v>
      </c>
      <c r="C126" s="160">
        <v>-0.002647856542557721</v>
      </c>
      <c r="D126" s="160">
        <v>-0.003660922677730025</v>
      </c>
      <c r="E126" s="160">
        <v>0.0021057617640228565</v>
      </c>
      <c r="F126" s="284">
        <v>-0.0023253065731967193</v>
      </c>
    </row>
    <row r="127" spans="1:6" ht="14.25">
      <c r="A127" s="159" t="s">
        <v>665</v>
      </c>
      <c r="B127" s="160">
        <v>0.0025798314718427215</v>
      </c>
      <c r="C127" s="160">
        <v>0.0015462014936149817</v>
      </c>
      <c r="D127" s="160">
        <v>0.0013765565925850539</v>
      </c>
      <c r="E127" s="160">
        <v>0.0019078220788834234</v>
      </c>
      <c r="F127" s="284">
        <v>0.0017913946643305762</v>
      </c>
    </row>
    <row r="128" spans="1:6" ht="14.25">
      <c r="A128" s="159" t="s">
        <v>373</v>
      </c>
      <c r="B128" s="160">
        <v>-0.002377560576834435</v>
      </c>
      <c r="C128" s="160">
        <v>0.003234965112463502</v>
      </c>
      <c r="D128" s="160">
        <v>0.002961855164891519</v>
      </c>
      <c r="E128" s="160">
        <v>0.004685769513653542</v>
      </c>
      <c r="F128" s="284">
        <v>0.0029780214826212116</v>
      </c>
    </row>
    <row r="129" spans="1:6" ht="14.25">
      <c r="A129" s="159" t="s">
        <v>496</v>
      </c>
      <c r="B129" s="160">
        <v>0.005059936585968924</v>
      </c>
      <c r="C129" s="160">
        <v>-0.0003492543774274133</v>
      </c>
      <c r="D129" s="160">
        <v>-3.539635301860758E-05</v>
      </c>
      <c r="E129" s="160">
        <v>0.00019010590402284287</v>
      </c>
      <c r="F129" s="284">
        <v>-0.00026788861105692113</v>
      </c>
    </row>
    <row r="130" spans="1:6" ht="14.25">
      <c r="A130" s="286" t="s">
        <v>770</v>
      </c>
      <c r="B130" s="287">
        <v>0.04473423083877108</v>
      </c>
      <c r="C130" s="287">
        <v>0.04199714395366186</v>
      </c>
      <c r="D130" s="287">
        <v>-0.04581809405245711</v>
      </c>
      <c r="E130" s="287">
        <v>0.00022884656558975935</v>
      </c>
      <c r="F130" s="288">
        <v>-0.0014972859161199634</v>
      </c>
    </row>
    <row r="131" spans="1:6" ht="14.25">
      <c r="A131" s="97" t="s">
        <v>435</v>
      </c>
      <c r="B131" s="160">
        <v>0.0014548888551614153</v>
      </c>
      <c r="C131" s="160">
        <v>0</v>
      </c>
      <c r="D131" s="160">
        <v>0.002694715920781156</v>
      </c>
      <c r="E131" s="160">
        <v>0.008082560912828505</v>
      </c>
      <c r="F131" s="284">
        <v>0.006332400095669198</v>
      </c>
    </row>
    <row r="132" spans="1:6" ht="14.25">
      <c r="A132" s="97" t="s">
        <v>682</v>
      </c>
      <c r="B132" s="265">
        <v>-0.019620530080572757</v>
      </c>
      <c r="C132" s="265">
        <v>0</v>
      </c>
      <c r="D132" s="265">
        <v>0</v>
      </c>
      <c r="E132" s="265">
        <v>0</v>
      </c>
      <c r="F132" s="283">
        <v>0</v>
      </c>
    </row>
    <row r="133" spans="1:6" ht="14.25">
      <c r="A133" s="286" t="s">
        <v>680</v>
      </c>
      <c r="B133" s="291">
        <v>0.026568589613359738</v>
      </c>
      <c r="C133" s="291">
        <v>0.04199714395366186</v>
      </c>
      <c r="D133" s="291">
        <v>-0.04312337813167596</v>
      </c>
      <c r="E133" s="291">
        <v>0.008311407478418263</v>
      </c>
      <c r="F133" s="292">
        <v>0.004835114179549235</v>
      </c>
    </row>
    <row r="134" spans="1:6" ht="14.25">
      <c r="A134" s="159" t="s">
        <v>597</v>
      </c>
      <c r="B134" s="160">
        <v>0</v>
      </c>
      <c r="C134" s="160">
        <v>0</v>
      </c>
      <c r="D134" s="160">
        <v>0</v>
      </c>
      <c r="E134" s="160">
        <v>0</v>
      </c>
      <c r="F134" s="284">
        <v>0</v>
      </c>
    </row>
    <row r="135" spans="1:6" ht="14.25">
      <c r="A135" s="286" t="s">
        <v>681</v>
      </c>
      <c r="B135" s="287">
        <v>0.026568589613359738</v>
      </c>
      <c r="C135" s="287">
        <v>0.04199714395366186</v>
      </c>
      <c r="D135" s="287">
        <v>-0.04312337813167596</v>
      </c>
      <c r="E135" s="287">
        <v>0.008311407478418263</v>
      </c>
      <c r="F135" s="288">
        <v>0.004835114179549235</v>
      </c>
    </row>
    <row r="136" spans="1:6" ht="14.25">
      <c r="A136" s="97" t="s">
        <v>301</v>
      </c>
      <c r="B136" s="293">
        <v>0.026880692377075605</v>
      </c>
      <c r="C136" s="293">
        <v>0.04229375394569453</v>
      </c>
      <c r="D136" s="293">
        <v>-0.042845665660329726</v>
      </c>
      <c r="E136" s="293">
        <v>0.008594556831473138</v>
      </c>
      <c r="F136" s="294">
        <v>0.005109080405879928</v>
      </c>
    </row>
    <row r="137" spans="1:6" ht="14.25">
      <c r="A137" s="97"/>
      <c r="B137" s="160"/>
      <c r="C137" s="295"/>
      <c r="D137" s="295"/>
      <c r="E137" s="295"/>
      <c r="F137" s="296"/>
    </row>
    <row r="138" spans="1:6" ht="14.25">
      <c r="A138" s="97" t="s">
        <v>679</v>
      </c>
      <c r="B138" s="151">
        <v>223.57186315506164</v>
      </c>
      <c r="C138" s="151">
        <v>232.96124287597317</v>
      </c>
      <c r="D138" s="151">
        <v>222.91516710940738</v>
      </c>
      <c r="E138" s="151">
        <v>224.76790589637335</v>
      </c>
      <c r="F138" s="297">
        <v>225.8546843852805</v>
      </c>
    </row>
    <row r="139" spans="1:6" ht="14.25">
      <c r="A139" s="99" t="s">
        <v>486</v>
      </c>
      <c r="B139" s="298" t="s">
        <v>363</v>
      </c>
      <c r="C139" s="298" t="s">
        <v>363</v>
      </c>
      <c r="D139" s="298" t="s">
        <v>363</v>
      </c>
      <c r="E139" s="298" t="s">
        <v>363</v>
      </c>
      <c r="F139" s="299" t="s">
        <v>363</v>
      </c>
    </row>
    <row r="140" spans="1:6" ht="14.25">
      <c r="A140" s="98"/>
      <c r="B140" s="425"/>
      <c r="C140" s="425"/>
      <c r="D140" s="425"/>
      <c r="E140" s="425"/>
      <c r="F140" s="425"/>
    </row>
    <row r="141" spans="1:6" ht="14.25">
      <c r="A141" s="98" t="s">
        <v>488</v>
      </c>
      <c r="B141" s="425"/>
      <c r="C141" s="425"/>
      <c r="D141" s="425"/>
      <c r="E141" s="425"/>
      <c r="F141" s="425"/>
    </row>
    <row r="142" spans="1:6" ht="14.25">
      <c r="A142" s="274" t="s">
        <v>488</v>
      </c>
      <c r="B142" s="307"/>
      <c r="C142" s="307"/>
      <c r="D142" s="307"/>
      <c r="E142" s="307"/>
      <c r="F142" s="276"/>
    </row>
    <row r="143" spans="1:6" ht="14.25">
      <c r="A143" s="280" t="s">
        <v>365</v>
      </c>
      <c r="B143" s="278" t="s">
        <v>92</v>
      </c>
      <c r="C143" s="278" t="s">
        <v>93</v>
      </c>
      <c r="D143" s="278" t="s">
        <v>94</v>
      </c>
      <c r="E143" s="278" t="s">
        <v>95</v>
      </c>
      <c r="F143" s="281" t="s">
        <v>131</v>
      </c>
    </row>
    <row r="144" spans="1:6" ht="14.25">
      <c r="A144" s="159" t="s">
        <v>372</v>
      </c>
      <c r="B144" s="265">
        <v>-0.0086775798854901</v>
      </c>
      <c r="C144" s="265">
        <v>0.003928928549945879</v>
      </c>
      <c r="D144" s="265">
        <v>-0.0019184691699608287</v>
      </c>
      <c r="E144" s="265">
        <v>-0.0011493840202587173</v>
      </c>
      <c r="F144" s="283">
        <v>-0.0032157347343112364</v>
      </c>
    </row>
    <row r="145" spans="1:6" ht="14.25">
      <c r="A145" s="159" t="s">
        <v>436</v>
      </c>
      <c r="B145" s="160">
        <v>-0.00025870854985243487</v>
      </c>
      <c r="C145" s="160">
        <v>-0.0002515121088799509</v>
      </c>
      <c r="D145" s="160">
        <v>-0.0002325482344850606</v>
      </c>
      <c r="E145" s="160">
        <v>-0.00023512809993636542</v>
      </c>
      <c r="F145" s="284">
        <v>-0.00022457104006598147</v>
      </c>
    </row>
    <row r="146" spans="1:6" ht="14.25">
      <c r="A146" s="159" t="s">
        <v>11</v>
      </c>
      <c r="B146" s="160">
        <v>0.0161682394344277</v>
      </c>
      <c r="C146" s="160">
        <v>0.03319594325526931</v>
      </c>
      <c r="D146" s="160">
        <v>-0.03745141770885467</v>
      </c>
      <c r="E146" s="160">
        <v>0.003421980342832383</v>
      </c>
      <c r="F146" s="284">
        <v>0.005363019364428578</v>
      </c>
    </row>
    <row r="147" spans="1:6" ht="14.25">
      <c r="A147" s="159" t="s">
        <v>665</v>
      </c>
      <c r="B147" s="160">
        <v>0.006048787083651935</v>
      </c>
      <c r="C147" s="160">
        <v>0.017953000193692076</v>
      </c>
      <c r="D147" s="160">
        <v>0.0029109110866524287</v>
      </c>
      <c r="E147" s="160">
        <v>0.004897483413045623</v>
      </c>
      <c r="F147" s="284">
        <v>0.006186945852548584</v>
      </c>
    </row>
    <row r="148" spans="1:6" ht="14.25">
      <c r="A148" s="159" t="s">
        <v>373</v>
      </c>
      <c r="B148" s="160">
        <v>0.0009719390702848718</v>
      </c>
      <c r="C148" s="160">
        <v>0.0022424541149399</v>
      </c>
      <c r="D148" s="160">
        <v>0.001599084827180802</v>
      </c>
      <c r="E148" s="160">
        <v>0.003416440699569916</v>
      </c>
      <c r="F148" s="284">
        <v>0.0029333595410820567</v>
      </c>
    </row>
    <row r="149" spans="1:6" ht="14.25">
      <c r="A149" s="159" t="s">
        <v>496</v>
      </c>
      <c r="B149" s="160">
        <v>0.003776564649323876</v>
      </c>
      <c r="C149" s="160">
        <v>0.00044695101046749564</v>
      </c>
      <c r="D149" s="160">
        <v>-0.0009255114568226243</v>
      </c>
      <c r="E149" s="160">
        <v>0.00012670772830839747</v>
      </c>
      <c r="F149" s="284">
        <v>-0.00019834442021276588</v>
      </c>
    </row>
    <row r="150" spans="1:6" ht="14.25">
      <c r="A150" s="286" t="s">
        <v>770</v>
      </c>
      <c r="B150" s="287">
        <v>0.01802924180234585</v>
      </c>
      <c r="C150" s="287">
        <v>0.05751576501543472</v>
      </c>
      <c r="D150" s="287">
        <v>-0.03601795065628995</v>
      </c>
      <c r="E150" s="287">
        <v>0.010478100063561237</v>
      </c>
      <c r="F150" s="288">
        <v>0.010844674563469237</v>
      </c>
    </row>
    <row r="151" spans="1:6" ht="14.25">
      <c r="A151" s="97" t="s">
        <v>435</v>
      </c>
      <c r="B151" s="160">
        <v>0.005289093661555789</v>
      </c>
      <c r="C151" s="160">
        <v>-0.002845935914591745</v>
      </c>
      <c r="D151" s="160">
        <v>0.000923150793103593</v>
      </c>
      <c r="E151" s="160">
        <v>0.010994963262794916</v>
      </c>
      <c r="F151" s="284">
        <v>0.0025791908218756494</v>
      </c>
    </row>
    <row r="152" spans="1:6" ht="14.25">
      <c r="A152" s="97" t="s">
        <v>682</v>
      </c>
      <c r="B152" s="265">
        <v>-0.01979374833407676</v>
      </c>
      <c r="C152" s="265">
        <v>0.0004990813116519762</v>
      </c>
      <c r="D152" s="265">
        <v>0</v>
      </c>
      <c r="E152" s="265">
        <v>0</v>
      </c>
      <c r="F152" s="283">
        <v>0</v>
      </c>
    </row>
    <row r="153" spans="1:6" ht="14.25">
      <c r="A153" s="286" t="s">
        <v>680</v>
      </c>
      <c r="B153" s="291">
        <v>0.0035245871298248826</v>
      </c>
      <c r="C153" s="291">
        <v>0.05516891041249495</v>
      </c>
      <c r="D153" s="291">
        <v>-0.03509479986318636</v>
      </c>
      <c r="E153" s="291">
        <v>0.02147306332635615</v>
      </c>
      <c r="F153" s="292">
        <v>0.013423865385344886</v>
      </c>
    </row>
    <row r="154" spans="1:6" ht="14.25">
      <c r="A154" s="159" t="s">
        <v>597</v>
      </c>
      <c r="B154" s="160">
        <v>0</v>
      </c>
      <c r="C154" s="160">
        <v>0</v>
      </c>
      <c r="D154" s="160">
        <v>0</v>
      </c>
      <c r="E154" s="160">
        <v>0</v>
      </c>
      <c r="F154" s="284">
        <v>0</v>
      </c>
    </row>
    <row r="155" spans="1:6" ht="14.25">
      <c r="A155" s="286" t="s">
        <v>681</v>
      </c>
      <c r="B155" s="287">
        <v>0.0035245871298248826</v>
      </c>
      <c r="C155" s="287">
        <v>0.05516891041249495</v>
      </c>
      <c r="D155" s="287">
        <v>-0.03509479986318636</v>
      </c>
      <c r="E155" s="287">
        <v>0.02147306332635615</v>
      </c>
      <c r="F155" s="288">
        <v>0.013423865385344886</v>
      </c>
    </row>
    <row r="156" spans="1:6" ht="14.25">
      <c r="A156" s="97" t="s">
        <v>301</v>
      </c>
      <c r="B156" s="293">
        <v>0.0037832956796773174</v>
      </c>
      <c r="C156" s="293">
        <v>0.0554204225213749</v>
      </c>
      <c r="D156" s="293">
        <v>-0.034862251628701296</v>
      </c>
      <c r="E156" s="293">
        <v>0.021708191426292517</v>
      </c>
      <c r="F156" s="294">
        <v>0.013648436425410868</v>
      </c>
    </row>
    <row r="157" spans="1:6" ht="14.25">
      <c r="A157" s="97"/>
      <c r="B157" s="160"/>
      <c r="C157" s="295"/>
      <c r="D157" s="295"/>
      <c r="E157" s="295"/>
      <c r="F157" s="296"/>
    </row>
    <row r="158" spans="1:6" ht="14.25">
      <c r="A158" s="97" t="s">
        <v>679</v>
      </c>
      <c r="B158" s="151">
        <v>274.4904202727614</v>
      </c>
      <c r="C158" s="151">
        <v>289.63375767787744</v>
      </c>
      <c r="D158" s="151">
        <v>279.4691189185497</v>
      </c>
      <c r="E158" s="151">
        <v>285.47017700684864</v>
      </c>
      <c r="F158" s="297">
        <v>289.30229023451915</v>
      </c>
    </row>
    <row r="159" spans="1:6" ht="14.25">
      <c r="A159" s="99" t="s">
        <v>486</v>
      </c>
      <c r="B159" s="298" t="s">
        <v>363</v>
      </c>
      <c r="C159" s="298" t="s">
        <v>363</v>
      </c>
      <c r="D159" s="298" t="s">
        <v>363</v>
      </c>
      <c r="E159" s="298" t="s">
        <v>363</v>
      </c>
      <c r="F159" s="299" t="s">
        <v>363</v>
      </c>
    </row>
    <row r="160" spans="1:6" ht="14.25">
      <c r="A160" s="98"/>
      <c r="B160" s="425"/>
      <c r="C160" s="425"/>
      <c r="D160" s="425"/>
      <c r="E160" s="425"/>
      <c r="F160" s="425"/>
    </row>
    <row r="161" spans="1:6" ht="14.25">
      <c r="A161" s="98" t="s">
        <v>484</v>
      </c>
      <c r="B161" s="425"/>
      <c r="C161" s="425"/>
      <c r="D161" s="425"/>
      <c r="E161" s="425"/>
      <c r="F161" s="425"/>
    </row>
    <row r="162" spans="1:6" ht="14.25">
      <c r="A162" s="274" t="s">
        <v>484</v>
      </c>
      <c r="B162" s="307"/>
      <c r="C162" s="307"/>
      <c r="D162" s="307"/>
      <c r="E162" s="307"/>
      <c r="F162" s="276"/>
    </row>
    <row r="163" spans="1:6" ht="14.25">
      <c r="A163" s="280" t="s">
        <v>365</v>
      </c>
      <c r="B163" s="278" t="s">
        <v>92</v>
      </c>
      <c r="C163" s="278" t="s">
        <v>93</v>
      </c>
      <c r="D163" s="278" t="s">
        <v>94</v>
      </c>
      <c r="E163" s="278" t="s">
        <v>95</v>
      </c>
      <c r="F163" s="281" t="s">
        <v>131</v>
      </c>
    </row>
    <row r="164" spans="1:6" ht="14.25">
      <c r="A164" s="159" t="s">
        <v>372</v>
      </c>
      <c r="B164" s="265">
        <v>0.00034288991955307033</v>
      </c>
      <c r="C164" s="265">
        <v>-0.007951387356091008</v>
      </c>
      <c r="D164" s="265">
        <v>0.0011196149531759005</v>
      </c>
      <c r="E164" s="265">
        <v>-0.004691089181076893</v>
      </c>
      <c r="F164" s="283">
        <v>-0.005837771330450959</v>
      </c>
    </row>
    <row r="165" spans="1:6" ht="14.25">
      <c r="A165" s="159" t="s">
        <v>436</v>
      </c>
      <c r="B165" s="160">
        <v>-0.0007374759841691704</v>
      </c>
      <c r="C165" s="160">
        <v>-0.0007224148765863336</v>
      </c>
      <c r="D165" s="160">
        <v>-0.0006971665105449062</v>
      </c>
      <c r="E165" s="160">
        <v>-0.0006657817459369514</v>
      </c>
      <c r="F165" s="284">
        <v>-0.0006382902830301365</v>
      </c>
    </row>
    <row r="166" spans="1:6" ht="14.25">
      <c r="A166" s="159" t="s">
        <v>11</v>
      </c>
      <c r="B166" s="160">
        <v>-0.001965025322467701</v>
      </c>
      <c r="C166" s="160">
        <v>0.008703375251301554</v>
      </c>
      <c r="D166" s="160">
        <v>0.0032663512657675467</v>
      </c>
      <c r="E166" s="160">
        <v>0.005420787854077726</v>
      </c>
      <c r="F166" s="284">
        <v>0.006058569963359063</v>
      </c>
    </row>
    <row r="167" spans="1:6" ht="14.25">
      <c r="A167" s="159" t="s">
        <v>665</v>
      </c>
      <c r="B167" s="160">
        <v>0.013987215162315872</v>
      </c>
      <c r="C167" s="160">
        <v>0.008944269153770234</v>
      </c>
      <c r="D167" s="160">
        <v>0.006764238697617837</v>
      </c>
      <c r="E167" s="160">
        <v>0.0051969951894240245</v>
      </c>
      <c r="F167" s="284">
        <v>0.004543997259949451</v>
      </c>
    </row>
    <row r="168" spans="1:6" ht="14.25">
      <c r="A168" s="159" t="s">
        <v>373</v>
      </c>
      <c r="B168" s="160">
        <v>0.003190270271255879</v>
      </c>
      <c r="C168" s="160">
        <v>0.0025226407454422765</v>
      </c>
      <c r="D168" s="160">
        <v>0.011191414475074058</v>
      </c>
      <c r="E168" s="160">
        <v>0.012371977844102277</v>
      </c>
      <c r="F168" s="284">
        <v>0.006997369290664493</v>
      </c>
    </row>
    <row r="169" spans="1:6" ht="14.25">
      <c r="A169" s="159" t="s">
        <v>496</v>
      </c>
      <c r="B169" s="160">
        <v>0.0005476738622636784</v>
      </c>
      <c r="C169" s="160">
        <v>-4.978930001417154E-05</v>
      </c>
      <c r="D169" s="160">
        <v>-4.472675026637945E-05</v>
      </c>
      <c r="E169" s="160">
        <v>-3.1624889534870523E-06</v>
      </c>
      <c r="F169" s="284">
        <v>3.6262096524134334E-05</v>
      </c>
    </row>
    <row r="170" spans="1:6" ht="14.25">
      <c r="A170" s="286" t="s">
        <v>770</v>
      </c>
      <c r="B170" s="287">
        <v>0.015365547908751628</v>
      </c>
      <c r="C170" s="287">
        <v>0.011446693617822551</v>
      </c>
      <c r="D170" s="287">
        <v>0.02159972613082406</v>
      </c>
      <c r="E170" s="287">
        <v>0.017629727471636696</v>
      </c>
      <c r="F170" s="288">
        <v>0.011160136997016047</v>
      </c>
    </row>
    <row r="171" spans="1:6" ht="14.25">
      <c r="A171" s="97" t="s">
        <v>435</v>
      </c>
      <c r="B171" s="160">
        <v>0</v>
      </c>
      <c r="C171" s="160">
        <v>0</v>
      </c>
      <c r="D171" s="160">
        <v>0</v>
      </c>
      <c r="E171" s="160">
        <v>0</v>
      </c>
      <c r="F171" s="284">
        <v>0</v>
      </c>
    </row>
    <row r="172" spans="1:6" ht="14.25">
      <c r="A172" s="97" t="s">
        <v>682</v>
      </c>
      <c r="B172" s="265">
        <v>-0.01941600649988442</v>
      </c>
      <c r="C172" s="265">
        <v>-0.0005045572883367165</v>
      </c>
      <c r="D172" s="265">
        <v>0</v>
      </c>
      <c r="E172" s="265">
        <v>0</v>
      </c>
      <c r="F172" s="283">
        <v>0</v>
      </c>
    </row>
    <row r="173" spans="1:6" ht="14.25">
      <c r="A173" s="286" t="s">
        <v>680</v>
      </c>
      <c r="B173" s="291">
        <v>-0.004050458591132794</v>
      </c>
      <c r="C173" s="291">
        <v>0.010942136329485834</v>
      </c>
      <c r="D173" s="291">
        <v>0.02159972613082406</v>
      </c>
      <c r="E173" s="291">
        <v>0.017629727471636696</v>
      </c>
      <c r="F173" s="292">
        <v>0.011160136997016047</v>
      </c>
    </row>
    <row r="174" spans="1:6" ht="14.25">
      <c r="A174" s="159" t="s">
        <v>597</v>
      </c>
      <c r="B174" s="160">
        <v>0</v>
      </c>
      <c r="C174" s="160">
        <v>0</v>
      </c>
      <c r="D174" s="160">
        <v>0</v>
      </c>
      <c r="E174" s="160">
        <v>0</v>
      </c>
      <c r="F174" s="284">
        <v>0</v>
      </c>
    </row>
    <row r="175" spans="1:6" ht="14.25">
      <c r="A175" s="286" t="s">
        <v>681</v>
      </c>
      <c r="B175" s="287">
        <v>-0.004050458591132794</v>
      </c>
      <c r="C175" s="287">
        <v>0.010942136329485834</v>
      </c>
      <c r="D175" s="287">
        <v>0.02159972613082406</v>
      </c>
      <c r="E175" s="287">
        <v>0.017629727471636696</v>
      </c>
      <c r="F175" s="288">
        <v>0.011160136997016047</v>
      </c>
    </row>
    <row r="176" spans="1:6" ht="14.25">
      <c r="A176" s="97" t="s">
        <v>301</v>
      </c>
      <c r="B176" s="293">
        <v>-0.0033129826069636234</v>
      </c>
      <c r="C176" s="293">
        <v>0.011664551206072168</v>
      </c>
      <c r="D176" s="293">
        <v>0.022296892641368967</v>
      </c>
      <c r="E176" s="293">
        <v>0.018295509217573648</v>
      </c>
      <c r="F176" s="294">
        <v>0.011798427280046184</v>
      </c>
    </row>
    <row r="177" spans="1:6" ht="14.25">
      <c r="A177" s="97"/>
      <c r="B177" s="160"/>
      <c r="C177" s="295"/>
      <c r="D177" s="295"/>
      <c r="E177" s="295"/>
      <c r="F177" s="296"/>
    </row>
    <row r="178" spans="1:6" ht="14.25">
      <c r="A178" s="97" t="s">
        <v>679</v>
      </c>
      <c r="B178" s="151">
        <v>193.51093929904889</v>
      </c>
      <c r="C178" s="151">
        <v>195.6283623781059</v>
      </c>
      <c r="D178" s="151">
        <v>199.85388142889465</v>
      </c>
      <c r="E178" s="151">
        <v>203.37725089263483</v>
      </c>
      <c r="F178" s="297">
        <v>205.64696887467315</v>
      </c>
    </row>
    <row r="179" spans="1:6" ht="14.25">
      <c r="A179" s="99" t="s">
        <v>486</v>
      </c>
      <c r="B179" s="298" t="s">
        <v>363</v>
      </c>
      <c r="C179" s="298" t="s">
        <v>363</v>
      </c>
      <c r="D179" s="298" t="s">
        <v>363</v>
      </c>
      <c r="E179" s="298" t="s">
        <v>363</v>
      </c>
      <c r="F179" s="299" t="s">
        <v>363</v>
      </c>
    </row>
    <row r="180" spans="1:6" ht="14.25">
      <c r="A180" s="98"/>
      <c r="B180" s="425"/>
      <c r="C180" s="425"/>
      <c r="D180" s="425"/>
      <c r="E180" s="425"/>
      <c r="F180" s="425"/>
    </row>
    <row r="181" spans="1:6" ht="14.25">
      <c r="A181" s="98" t="s">
        <v>492</v>
      </c>
      <c r="B181" s="425"/>
      <c r="C181" s="425"/>
      <c r="D181" s="425"/>
      <c r="E181" s="425"/>
      <c r="F181" s="425"/>
    </row>
    <row r="182" spans="1:6" ht="14.25">
      <c r="A182" s="274" t="s">
        <v>492</v>
      </c>
      <c r="B182" s="307"/>
      <c r="C182" s="307"/>
      <c r="D182" s="307"/>
      <c r="E182" s="307"/>
      <c r="F182" s="276"/>
    </row>
    <row r="183" spans="1:6" ht="14.25">
      <c r="A183" s="280" t="s">
        <v>365</v>
      </c>
      <c r="B183" s="278" t="s">
        <v>92</v>
      </c>
      <c r="C183" s="278" t="s">
        <v>93</v>
      </c>
      <c r="D183" s="278" t="s">
        <v>94</v>
      </c>
      <c r="E183" s="278" t="s">
        <v>95</v>
      </c>
      <c r="F183" s="281" t="s">
        <v>131</v>
      </c>
    </row>
    <row r="184" spans="1:6" ht="14.25">
      <c r="A184" s="159" t="s">
        <v>372</v>
      </c>
      <c r="B184" s="265">
        <v>0.02880120200224567</v>
      </c>
      <c r="C184" s="265">
        <v>-0.006712287161470475</v>
      </c>
      <c r="D184" s="265">
        <v>-0.0038790281061120094</v>
      </c>
      <c r="E184" s="265">
        <v>-0.0033648906191619137</v>
      </c>
      <c r="F184" s="283">
        <v>-0.003385115814659941</v>
      </c>
    </row>
    <row r="185" spans="1:6" ht="14.25">
      <c r="A185" s="159" t="s">
        <v>436</v>
      </c>
      <c r="B185" s="160">
        <v>-0.000767887597844587</v>
      </c>
      <c r="C185" s="160">
        <v>-0.0007225532872706149</v>
      </c>
      <c r="D185" s="160">
        <v>-0.0006856949310510721</v>
      </c>
      <c r="E185" s="160">
        <v>-0.0006733063510690098</v>
      </c>
      <c r="F185" s="284">
        <v>-0.0006492141277218473</v>
      </c>
    </row>
    <row r="186" spans="1:6" ht="14.25">
      <c r="A186" s="159" t="s">
        <v>11</v>
      </c>
      <c r="B186" s="160">
        <v>0.017879104296009796</v>
      </c>
      <c r="C186" s="160">
        <v>0.022800560362494345</v>
      </c>
      <c r="D186" s="160">
        <v>-0.009669184890214266</v>
      </c>
      <c r="E186" s="160">
        <v>0.005988574460441833</v>
      </c>
      <c r="F186" s="284">
        <v>0.00640860868746922</v>
      </c>
    </row>
    <row r="187" spans="1:6" ht="14.25">
      <c r="A187" s="159" t="s">
        <v>665</v>
      </c>
      <c r="B187" s="160">
        <v>0.010061032962723</v>
      </c>
      <c r="C187" s="160">
        <v>0.009940103101391807</v>
      </c>
      <c r="D187" s="160">
        <v>0.006063596040567722</v>
      </c>
      <c r="E187" s="160">
        <v>0.005247179321480264</v>
      </c>
      <c r="F187" s="284">
        <v>0.0038879864721759975</v>
      </c>
    </row>
    <row r="188" spans="1:6" ht="14.25">
      <c r="A188" s="159" t="s">
        <v>373</v>
      </c>
      <c r="B188" s="160">
        <v>0.0009044226797514405</v>
      </c>
      <c r="C188" s="160">
        <v>0.0025965503581320245</v>
      </c>
      <c r="D188" s="160">
        <v>0.0017884536442894666</v>
      </c>
      <c r="E188" s="160">
        <v>0.004622619831260707</v>
      </c>
      <c r="F188" s="284">
        <v>0.005590596218535597</v>
      </c>
    </row>
    <row r="189" spans="1:6" ht="14.25">
      <c r="A189" s="159" t="s">
        <v>496</v>
      </c>
      <c r="B189" s="160">
        <v>0.000537156962000771</v>
      </c>
      <c r="C189" s="160">
        <v>1.1916414652715617E-05</v>
      </c>
      <c r="D189" s="160">
        <v>-5.75383591563089E-05</v>
      </c>
      <c r="E189" s="160">
        <v>-5.712206597825619E-06</v>
      </c>
      <c r="F189" s="284">
        <v>3.166487655351247E-05</v>
      </c>
    </row>
    <row r="190" spans="1:6" ht="14.25">
      <c r="A190" s="286" t="s">
        <v>770</v>
      </c>
      <c r="B190" s="287">
        <v>0.05741503130488608</v>
      </c>
      <c r="C190" s="287">
        <v>0.0279142897879298</v>
      </c>
      <c r="D190" s="287">
        <v>-0.006439396601676468</v>
      </c>
      <c r="E190" s="287">
        <v>0.011814464436354056</v>
      </c>
      <c r="F190" s="288">
        <v>0.01188452631235254</v>
      </c>
    </row>
    <row r="191" spans="1:6" ht="14.25">
      <c r="A191" s="97" t="s">
        <v>435</v>
      </c>
      <c r="B191" s="160">
        <v>0</v>
      </c>
      <c r="C191" s="160">
        <v>0</v>
      </c>
      <c r="D191" s="160">
        <v>0</v>
      </c>
      <c r="E191" s="160">
        <v>0</v>
      </c>
      <c r="F191" s="284">
        <v>0</v>
      </c>
    </row>
    <row r="192" spans="1:6" ht="14.25">
      <c r="A192" s="97" t="s">
        <v>682</v>
      </c>
      <c r="B192" s="265">
        <v>-0.02059374041654422</v>
      </c>
      <c r="C192" s="265">
        <v>0.00013769723931907792</v>
      </c>
      <c r="D192" s="265">
        <v>0</v>
      </c>
      <c r="E192" s="265">
        <v>0</v>
      </c>
      <c r="F192" s="283">
        <v>0</v>
      </c>
    </row>
    <row r="193" spans="1:6" ht="14.25">
      <c r="A193" s="286" t="s">
        <v>680</v>
      </c>
      <c r="B193" s="291">
        <v>0.036821290888341865</v>
      </c>
      <c r="C193" s="291">
        <v>0.028051987027248877</v>
      </c>
      <c r="D193" s="291">
        <v>-0.006439396601676468</v>
      </c>
      <c r="E193" s="291">
        <v>0.011814464436354056</v>
      </c>
      <c r="F193" s="292">
        <v>0.01188452631235254</v>
      </c>
    </row>
    <row r="194" spans="1:6" ht="14.25">
      <c r="A194" s="159" t="s">
        <v>597</v>
      </c>
      <c r="B194" s="160">
        <v>0</v>
      </c>
      <c r="C194" s="160">
        <v>0</v>
      </c>
      <c r="D194" s="160">
        <v>0</v>
      </c>
      <c r="E194" s="160">
        <v>0</v>
      </c>
      <c r="F194" s="284">
        <v>0</v>
      </c>
    </row>
    <row r="195" spans="1:6" ht="14.25">
      <c r="A195" s="286" t="s">
        <v>681</v>
      </c>
      <c r="B195" s="287">
        <v>0.036821290888341865</v>
      </c>
      <c r="C195" s="287">
        <v>0.028051987027248877</v>
      </c>
      <c r="D195" s="287">
        <v>-0.006439396601676468</v>
      </c>
      <c r="E195" s="287">
        <v>0.011814464436354056</v>
      </c>
      <c r="F195" s="288">
        <v>0.01188452631235254</v>
      </c>
    </row>
    <row r="196" spans="1:6" ht="14.25">
      <c r="A196" s="97" t="s">
        <v>301</v>
      </c>
      <c r="B196" s="293">
        <v>0.03758917848618645</v>
      </c>
      <c r="C196" s="293">
        <v>0.02877454031451949</v>
      </c>
      <c r="D196" s="293">
        <v>-0.005753701670625396</v>
      </c>
      <c r="E196" s="293">
        <v>0.012487770787423065</v>
      </c>
      <c r="F196" s="294">
        <v>0.012533740440074388</v>
      </c>
    </row>
    <row r="197" spans="1:6" ht="14.25">
      <c r="A197" s="97"/>
      <c r="B197" s="160"/>
      <c r="C197" s="295"/>
      <c r="D197" s="295"/>
      <c r="E197" s="295"/>
      <c r="F197" s="296"/>
    </row>
    <row r="198" spans="1:6" ht="14.25">
      <c r="A198" s="97" t="s">
        <v>679</v>
      </c>
      <c r="B198" s="151">
        <v>448.31891354646086</v>
      </c>
      <c r="C198" s="151">
        <v>460.8951498933365</v>
      </c>
      <c r="D198" s="151">
        <v>457.92726323138425</v>
      </c>
      <c r="E198" s="151">
        <v>463.33742859726834</v>
      </c>
      <c r="F198" s="297">
        <v>468.8439744589303</v>
      </c>
    </row>
    <row r="199" spans="1:6" ht="14.25">
      <c r="A199" s="99" t="s">
        <v>486</v>
      </c>
      <c r="B199" s="298" t="s">
        <v>363</v>
      </c>
      <c r="C199" s="298" t="s">
        <v>363</v>
      </c>
      <c r="D199" s="298" t="s">
        <v>363</v>
      </c>
      <c r="E199" s="298" t="s">
        <v>363</v>
      </c>
      <c r="F199" s="299" t="s">
        <v>363</v>
      </c>
    </row>
    <row r="200" spans="1:6" ht="14.25">
      <c r="A200" s="98"/>
      <c r="B200" s="425"/>
      <c r="C200" s="425"/>
      <c r="D200" s="425"/>
      <c r="E200" s="425"/>
      <c r="F200" s="425"/>
    </row>
    <row r="201" spans="1:6" ht="14.25">
      <c r="A201" s="267" t="s">
        <v>490</v>
      </c>
      <c r="B201" s="426"/>
      <c r="C201" s="426"/>
      <c r="D201" s="426"/>
      <c r="E201" s="426"/>
      <c r="F201" s="426"/>
    </row>
    <row r="202" spans="1:6" ht="14.25">
      <c r="A202" s="274" t="s">
        <v>490</v>
      </c>
      <c r="B202" s="307"/>
      <c r="C202" s="307"/>
      <c r="D202" s="307"/>
      <c r="E202" s="307"/>
      <c r="F202" s="276"/>
    </row>
    <row r="203" spans="1:6" ht="14.25">
      <c r="A203" s="280" t="s">
        <v>365</v>
      </c>
      <c r="B203" s="278" t="s">
        <v>92</v>
      </c>
      <c r="C203" s="278" t="s">
        <v>93</v>
      </c>
      <c r="D203" s="278" t="s">
        <v>94</v>
      </c>
      <c r="E203" s="278" t="s">
        <v>95</v>
      </c>
      <c r="F203" s="281" t="s">
        <v>131</v>
      </c>
    </row>
    <row r="204" spans="1:6" ht="14.25">
      <c r="A204" s="159" t="s">
        <v>372</v>
      </c>
      <c r="B204" s="265">
        <v>-0.017894276092161914</v>
      </c>
      <c r="C204" s="265">
        <v>0.0003562144705039543</v>
      </c>
      <c r="D204" s="265">
        <v>-0.008516186119394954</v>
      </c>
      <c r="E204" s="265">
        <v>-0.006227786027492592</v>
      </c>
      <c r="F204" s="283">
        <v>-0.00646375294904535</v>
      </c>
    </row>
    <row r="205" spans="1:6" ht="14.25">
      <c r="A205" s="159" t="s">
        <v>436</v>
      </c>
      <c r="B205" s="160">
        <v>-0.0007709174811122968</v>
      </c>
      <c r="C205" s="160">
        <v>-0.000748720612412301</v>
      </c>
      <c r="D205" s="160">
        <v>-0.0007027008434860059</v>
      </c>
      <c r="E205" s="160">
        <v>-0.0006853593580732608</v>
      </c>
      <c r="F205" s="284">
        <v>-0.0006615261412637066</v>
      </c>
    </row>
    <row r="206" spans="1:6" ht="14.25">
      <c r="A206" s="159" t="s">
        <v>11</v>
      </c>
      <c r="B206" s="160">
        <v>0.02640228539928632</v>
      </c>
      <c r="C206" s="160">
        <v>0.021800857444662043</v>
      </c>
      <c r="D206" s="160">
        <v>-0.0017723258949292771</v>
      </c>
      <c r="E206" s="160">
        <v>0.0045418143062617745</v>
      </c>
      <c r="F206" s="284">
        <v>0.0017003528798498467</v>
      </c>
    </row>
    <row r="207" spans="1:6" ht="14.25">
      <c r="A207" s="159" t="s">
        <v>665</v>
      </c>
      <c r="B207" s="160">
        <v>0.00881908733094586</v>
      </c>
      <c r="C207" s="160">
        <v>0.013403328778325943</v>
      </c>
      <c r="D207" s="160">
        <v>0.0071991191058483825</v>
      </c>
      <c r="E207" s="160">
        <v>0.006741099946175348</v>
      </c>
      <c r="F207" s="284">
        <v>0.0059615922860015635</v>
      </c>
    </row>
    <row r="208" spans="1:6" ht="14.25">
      <c r="A208" s="159" t="s">
        <v>373</v>
      </c>
      <c r="B208" s="160">
        <v>0.006431476389174348</v>
      </c>
      <c r="C208" s="160">
        <v>0.0049987436833405265</v>
      </c>
      <c r="D208" s="160">
        <v>0.004126652021163449</v>
      </c>
      <c r="E208" s="160">
        <v>0.006376362383039925</v>
      </c>
      <c r="F208" s="284">
        <v>0.00418592147114234</v>
      </c>
    </row>
    <row r="209" spans="1:6" ht="14.25">
      <c r="A209" s="159" t="s">
        <v>496</v>
      </c>
      <c r="B209" s="160">
        <v>0.0006257332951087013</v>
      </c>
      <c r="C209" s="160">
        <v>3.992919939069928E-05</v>
      </c>
      <c r="D209" s="160">
        <v>-3.917972466509442E-05</v>
      </c>
      <c r="E209" s="160">
        <v>1.2528856443596256E-05</v>
      </c>
      <c r="F209" s="284">
        <v>-3.9113842132471275E-06</v>
      </c>
    </row>
    <row r="210" spans="1:6" ht="14.25">
      <c r="A210" s="286" t="s">
        <v>770</v>
      </c>
      <c r="B210" s="287">
        <v>0.02361338884124102</v>
      </c>
      <c r="C210" s="287">
        <v>0.03985035296381086</v>
      </c>
      <c r="D210" s="287">
        <v>0.00029537854453650107</v>
      </c>
      <c r="E210" s="287">
        <v>0.010758660106354791</v>
      </c>
      <c r="F210" s="288">
        <v>0.0047186761624714475</v>
      </c>
    </row>
    <row r="211" spans="1:6" ht="14.25">
      <c r="A211" s="97" t="s">
        <v>435</v>
      </c>
      <c r="B211" s="160">
        <v>0</v>
      </c>
      <c r="C211" s="160">
        <v>0</v>
      </c>
      <c r="D211" s="160">
        <v>0</v>
      </c>
      <c r="E211" s="160">
        <v>0</v>
      </c>
      <c r="F211" s="284">
        <v>0</v>
      </c>
    </row>
    <row r="212" spans="1:6" ht="14.25">
      <c r="A212" s="97" t="s">
        <v>682</v>
      </c>
      <c r="B212" s="265">
        <v>-0.019080318359768037</v>
      </c>
      <c r="C212" s="265">
        <v>-0.0003480657072859348</v>
      </c>
      <c r="D212" s="265">
        <v>0</v>
      </c>
      <c r="E212" s="265">
        <v>0</v>
      </c>
      <c r="F212" s="283">
        <v>0</v>
      </c>
    </row>
    <row r="213" spans="1:6" ht="14.25">
      <c r="A213" s="286" t="s">
        <v>680</v>
      </c>
      <c r="B213" s="291">
        <v>0.004533070481472983</v>
      </c>
      <c r="C213" s="291">
        <v>0.03950228725652493</v>
      </c>
      <c r="D213" s="291">
        <v>0.00029537854453650107</v>
      </c>
      <c r="E213" s="291">
        <v>0.010758660106354791</v>
      </c>
      <c r="F213" s="292">
        <v>0.0047186761624714475</v>
      </c>
    </row>
    <row r="214" spans="1:7" ht="14.25">
      <c r="A214" s="159" t="s">
        <v>597</v>
      </c>
      <c r="B214" s="160">
        <v>0</v>
      </c>
      <c r="C214" s="160">
        <v>0</v>
      </c>
      <c r="D214" s="160">
        <v>0</v>
      </c>
      <c r="E214" s="160">
        <v>0</v>
      </c>
      <c r="F214" s="284">
        <v>0</v>
      </c>
      <c r="G214" s="331"/>
    </row>
    <row r="215" spans="1:6" ht="14.25">
      <c r="A215" s="286" t="s">
        <v>681</v>
      </c>
      <c r="B215" s="287">
        <v>0.004533070481472983</v>
      </c>
      <c r="C215" s="287">
        <v>0.03950228725652493</v>
      </c>
      <c r="D215" s="287">
        <v>0.00029537854453650107</v>
      </c>
      <c r="E215" s="287">
        <v>0.010758660106354791</v>
      </c>
      <c r="F215" s="288">
        <v>0.0047186761624714475</v>
      </c>
    </row>
    <row r="216" spans="1:6" ht="14.25">
      <c r="A216" s="97" t="s">
        <v>301</v>
      </c>
      <c r="B216" s="293">
        <v>0.00530398796258528</v>
      </c>
      <c r="C216" s="293">
        <v>0.04025100786893723</v>
      </c>
      <c r="D216" s="293">
        <v>0.000998079388022507</v>
      </c>
      <c r="E216" s="293">
        <v>0.011444019464428051</v>
      </c>
      <c r="F216" s="294">
        <v>0.005380202303735154</v>
      </c>
    </row>
    <row r="217" spans="1:6" ht="14.25">
      <c r="A217" s="97"/>
      <c r="B217" s="160"/>
      <c r="C217" s="295"/>
      <c r="D217" s="295"/>
      <c r="E217" s="295"/>
      <c r="F217" s="296"/>
    </row>
    <row r="218" spans="1:6" ht="14.25">
      <c r="A218" s="97" t="s">
        <v>679</v>
      </c>
      <c r="B218" s="151">
        <v>253.14028496520626</v>
      </c>
      <c r="C218" s="151">
        <v>263.1399052181004</v>
      </c>
      <c r="D218" s="151">
        <v>263.2176311003132</v>
      </c>
      <c r="E218" s="151">
        <v>266.0495001273214</v>
      </c>
      <c r="F218" s="297">
        <v>267.3049015616096</v>
      </c>
    </row>
    <row r="219" spans="1:6" ht="14.25">
      <c r="A219" s="99" t="s">
        <v>486</v>
      </c>
      <c r="B219" s="298" t="s">
        <v>363</v>
      </c>
      <c r="C219" s="298" t="s">
        <v>363</v>
      </c>
      <c r="D219" s="298" t="s">
        <v>363</v>
      </c>
      <c r="E219" s="298" t="s">
        <v>363</v>
      </c>
      <c r="F219" s="299" t="s">
        <v>363</v>
      </c>
    </row>
    <row r="220" spans="1:6" ht="14.25">
      <c r="A220" s="267"/>
      <c r="B220" s="426"/>
      <c r="C220" s="426"/>
      <c r="D220" s="426"/>
      <c r="E220" s="426"/>
      <c r="F220" s="426"/>
    </row>
    <row r="221" spans="1:18" ht="14.25">
      <c r="A221" s="98"/>
      <c r="B221" s="425"/>
      <c r="C221" s="425"/>
      <c r="D221" s="425"/>
      <c r="E221" s="425"/>
      <c r="F221" s="425"/>
      <c r="H221" s="129"/>
      <c r="I221" s="202"/>
      <c r="J221" s="129"/>
      <c r="K221" s="129"/>
      <c r="L221" s="129"/>
      <c r="M221" s="129"/>
      <c r="N221" s="129"/>
      <c r="O221" s="129"/>
      <c r="P221" s="129"/>
      <c r="Q221" s="129"/>
      <c r="R221" s="129"/>
    </row>
    <row r="222" spans="1:22" ht="14.25">
      <c r="A222" s="274" t="s">
        <v>539</v>
      </c>
      <c r="B222" s="307"/>
      <c r="C222" s="307"/>
      <c r="D222" s="307"/>
      <c r="E222" s="307"/>
      <c r="F222" s="276"/>
      <c r="H222" s="129"/>
      <c r="I222" s="202"/>
      <c r="J222" s="427"/>
      <c r="K222" s="427"/>
      <c r="L222" s="427"/>
      <c r="M222" s="427"/>
      <c r="N222" s="427"/>
      <c r="O222" s="427"/>
      <c r="P222" s="427"/>
      <c r="Q222" s="427"/>
      <c r="R222" s="275"/>
      <c r="T222" s="331"/>
      <c r="U222" s="331"/>
      <c r="V222" s="331"/>
    </row>
    <row r="223" spans="1:22" ht="14.25">
      <c r="A223" s="280" t="str">
        <f>A203</f>
        <v>No profiling</v>
      </c>
      <c r="B223" s="278" t="s">
        <v>92</v>
      </c>
      <c r="C223" s="278" t="s">
        <v>93</v>
      </c>
      <c r="D223" s="278" t="s">
        <v>94</v>
      </c>
      <c r="E223" s="278" t="s">
        <v>95</v>
      </c>
      <c r="F223" s="281" t="s">
        <v>131</v>
      </c>
      <c r="H223" s="331"/>
      <c r="I223" s="202"/>
      <c r="J223" s="427"/>
      <c r="K223" s="427"/>
      <c r="L223" s="427"/>
      <c r="M223" s="427"/>
      <c r="N223" s="427"/>
      <c r="O223" s="427"/>
      <c r="P223" s="427"/>
      <c r="Q223" s="427"/>
      <c r="R223" s="275"/>
      <c r="T223" s="331"/>
      <c r="U223" s="331"/>
      <c r="V223" s="331"/>
    </row>
    <row r="224" spans="1:22" ht="14.25">
      <c r="A224" s="159" t="s">
        <v>372</v>
      </c>
      <c r="B224" s="282">
        <f aca="true" t="shared" si="14" ref="B224:B236">(B64*J$7/J$15)+(B84*J$8/J$15)+(B104*J$9/J$15)+(B124*J$10/J$15)+(B144*J$11/J$15)+(B164*J$12/J$15)+(B184*J$13/J$15)+(B204*J$14/J$15)</f>
        <v>-0.002527856905261313</v>
      </c>
      <c r="C224" s="282">
        <f aca="true" t="shared" si="15" ref="C224:C236">(C64*K$7/K$15)+(C84*K$8/K$15)+(C104*K$9/K$15)+(C124*K$10/K$15)+(C144*K$11/K$15)+(C164*K$12/K$15)+(C184*K$13/K$15)+(C204*K$14/K$15)</f>
        <v>-0.00011483341347616801</v>
      </c>
      <c r="D224" s="282">
        <f aca="true" t="shared" si="16" ref="D224:D236">(D64*L$7/L$15)+(D84*L$8/L$15)+(D104*L$9/L$15)+(D124*L$10/L$15)+(D144*L$11/L$15)+(D164*L$12/L$15)+(D184*L$13/L$15)+(D204*L$14/L$15)</f>
        <v>-0.008189941798636653</v>
      </c>
      <c r="E224" s="282">
        <f aca="true" t="shared" si="17" ref="E224:E236">(E64*M$7/M$15)+(E84*M$8/M$15)+(E104*M$9/M$15)+(E124*M$10/M$15)+(E144*M$11/M$15)+(E164*M$12/M$15)+(E184*M$13/M$15)+(E204*M$14/M$15)</f>
        <v>-0.005135039786489621</v>
      </c>
      <c r="F224" s="465">
        <f aca="true" t="shared" si="18" ref="F224:F236">(F64*N$7/N$15)+(F84*N$8/N$15)+(F104*N$9/N$15)+(F124*N$10/N$15)+(F144*N$11/N$15)+(F164*N$12/N$15)+(F184*N$13/N$15)+(F204*N$14/N$15)</f>
        <v>-0.003163740785216157</v>
      </c>
      <c r="H224" s="476"/>
      <c r="I224" s="129"/>
      <c r="J224" s="295"/>
      <c r="K224" s="333"/>
      <c r="L224" s="334"/>
      <c r="M224" s="334"/>
      <c r="N224" s="334"/>
      <c r="O224" s="334"/>
      <c r="P224" s="334"/>
      <c r="Q224" s="334"/>
      <c r="R224" s="334"/>
      <c r="T224" s="75"/>
      <c r="U224" s="75"/>
      <c r="V224" s="82"/>
    </row>
    <row r="225" spans="1:22" ht="14.25">
      <c r="A225" s="159" t="s">
        <v>436</v>
      </c>
      <c r="B225" s="282">
        <f t="shared" si="14"/>
        <v>-0.00048097317850998787</v>
      </c>
      <c r="C225" s="282">
        <f t="shared" si="15"/>
        <v>-0.00046057236149278554</v>
      </c>
      <c r="D225" s="282">
        <f t="shared" si="16"/>
        <v>-0.00043994637836366015</v>
      </c>
      <c r="E225" s="282">
        <f t="shared" si="17"/>
        <v>-0.0004313173114563392</v>
      </c>
      <c r="F225" s="465">
        <f t="shared" si="18"/>
        <v>-0.0004159735029202002</v>
      </c>
      <c r="H225" s="476"/>
      <c r="I225" s="129"/>
      <c r="J225" s="295"/>
      <c r="K225" s="333"/>
      <c r="L225" s="334"/>
      <c r="M225" s="334"/>
      <c r="N225" s="334"/>
      <c r="O225" s="334"/>
      <c r="P225" s="334"/>
      <c r="Q225" s="334"/>
      <c r="R225" s="334"/>
      <c r="T225" s="75"/>
      <c r="U225" s="75"/>
      <c r="V225" s="82"/>
    </row>
    <row r="226" spans="1:22" ht="14.25">
      <c r="A226" s="159" t="s">
        <v>11</v>
      </c>
      <c r="B226" s="282">
        <f t="shared" si="14"/>
        <v>0.026240509015649498</v>
      </c>
      <c r="C226" s="282">
        <f t="shared" si="15"/>
        <v>0.011669164335845708</v>
      </c>
      <c r="D226" s="282">
        <f t="shared" si="16"/>
        <v>-0.004784367669704208</v>
      </c>
      <c r="E226" s="282">
        <f t="shared" si="17"/>
        <v>0.005048231948972784</v>
      </c>
      <c r="F226" s="465">
        <f t="shared" si="18"/>
        <v>0.0019213875454487967</v>
      </c>
      <c r="H226" s="476"/>
      <c r="I226" s="129"/>
      <c r="J226" s="295"/>
      <c r="K226" s="333"/>
      <c r="L226" s="334"/>
      <c r="M226" s="334"/>
      <c r="N226" s="334"/>
      <c r="O226" s="334"/>
      <c r="P226" s="334"/>
      <c r="Q226" s="334"/>
      <c r="R226" s="334"/>
      <c r="T226" s="75"/>
      <c r="U226" s="75"/>
      <c r="V226" s="82"/>
    </row>
    <row r="227" spans="1:22" ht="14.25">
      <c r="A227" s="159" t="s">
        <v>665</v>
      </c>
      <c r="B227" s="282">
        <f t="shared" si="14"/>
        <v>0.0069311247849805505</v>
      </c>
      <c r="C227" s="282">
        <f t="shared" si="15"/>
        <v>0.0076232333882207525</v>
      </c>
      <c r="D227" s="282">
        <f t="shared" si="16"/>
        <v>0.003998177321254138</v>
      </c>
      <c r="E227" s="282">
        <f t="shared" si="17"/>
        <v>0.003918317117847626</v>
      </c>
      <c r="F227" s="465">
        <f t="shared" si="18"/>
        <v>0.0037157194682313406</v>
      </c>
      <c r="H227" s="476"/>
      <c r="I227" s="129"/>
      <c r="J227" s="295"/>
      <c r="K227" s="333"/>
      <c r="L227" s="334"/>
      <c r="M227" s="334"/>
      <c r="N227" s="334"/>
      <c r="O227" s="334"/>
      <c r="P227" s="334"/>
      <c r="Q227" s="334"/>
      <c r="R227" s="334"/>
      <c r="T227" s="75"/>
      <c r="U227" s="75"/>
      <c r="V227" s="82"/>
    </row>
    <row r="228" spans="1:22" ht="14.25">
      <c r="A228" s="159" t="s">
        <v>373</v>
      </c>
      <c r="B228" s="282">
        <f t="shared" si="14"/>
        <v>0.002213422536946023</v>
      </c>
      <c r="C228" s="282">
        <f t="shared" si="15"/>
        <v>0.0027168528242351416</v>
      </c>
      <c r="D228" s="282">
        <f t="shared" si="16"/>
        <v>0.0036187123440584723</v>
      </c>
      <c r="E228" s="282">
        <f t="shared" si="17"/>
        <v>0.005859348309898244</v>
      </c>
      <c r="F228" s="465">
        <f t="shared" si="18"/>
        <v>0.004568559956474366</v>
      </c>
      <c r="H228" s="476"/>
      <c r="I228" s="129"/>
      <c r="J228" s="295"/>
      <c r="K228" s="333"/>
      <c r="L228" s="334"/>
      <c r="M228" s="334"/>
      <c r="N228" s="334"/>
      <c r="O228" s="334"/>
      <c r="P228" s="334"/>
      <c r="Q228" s="334"/>
      <c r="R228" s="334"/>
      <c r="T228" s="75"/>
      <c r="U228" s="75"/>
      <c r="V228" s="82"/>
    </row>
    <row r="229" spans="1:22" ht="14.25">
      <c r="A229" s="159" t="s">
        <v>496</v>
      </c>
      <c r="B229" s="282">
        <f t="shared" si="14"/>
        <v>0.002970991105434427</v>
      </c>
      <c r="C229" s="282">
        <f t="shared" si="15"/>
        <v>-4.28881375294244E-05</v>
      </c>
      <c r="D229" s="282">
        <f t="shared" si="16"/>
        <v>-5.8484848876057125E-05</v>
      </c>
      <c r="E229" s="282">
        <f t="shared" si="17"/>
        <v>0.00013184750626465974</v>
      </c>
      <c r="F229" s="465">
        <f t="shared" si="18"/>
        <v>-0.00014688223014477326</v>
      </c>
      <c r="H229" s="476"/>
      <c r="I229" s="129"/>
      <c r="J229" s="295"/>
      <c r="K229" s="333"/>
      <c r="L229" s="334"/>
      <c r="M229" s="334"/>
      <c r="N229" s="334"/>
      <c r="O229" s="334"/>
      <c r="P229" s="334"/>
      <c r="Q229" s="334"/>
      <c r="R229" s="334"/>
      <c r="T229" s="75"/>
      <c r="U229" s="75"/>
      <c r="V229" s="82"/>
    </row>
    <row r="230" spans="1:22" ht="14.25">
      <c r="A230" s="286" t="s">
        <v>770</v>
      </c>
      <c r="B230" s="466">
        <f t="shared" si="14"/>
        <v>0.0353472173592392</v>
      </c>
      <c r="C230" s="466">
        <f t="shared" si="15"/>
        <v>0.021390956635803225</v>
      </c>
      <c r="D230" s="466">
        <f t="shared" si="16"/>
        <v>-0.005855851030267967</v>
      </c>
      <c r="E230" s="466">
        <f t="shared" si="17"/>
        <v>0.009391387785037352</v>
      </c>
      <c r="F230" s="467">
        <f t="shared" si="18"/>
        <v>0.006479070451873374</v>
      </c>
      <c r="H230" s="476"/>
      <c r="I230" s="202"/>
      <c r="J230" s="295"/>
      <c r="K230" s="333"/>
      <c r="L230" s="334"/>
      <c r="M230" s="334"/>
      <c r="N230" s="334"/>
      <c r="O230" s="334"/>
      <c r="P230" s="334"/>
      <c r="Q230" s="334"/>
      <c r="R230" s="334"/>
      <c r="T230" s="75"/>
      <c r="U230" s="75"/>
      <c r="V230" s="82"/>
    </row>
    <row r="231" spans="1:22" ht="14.25">
      <c r="A231" s="97" t="s">
        <v>435</v>
      </c>
      <c r="B231" s="282">
        <f t="shared" si="14"/>
        <v>0.0033131415708149564</v>
      </c>
      <c r="C231" s="282">
        <f t="shared" si="15"/>
        <v>-5.417762022751451E-05</v>
      </c>
      <c r="D231" s="282">
        <f t="shared" si="16"/>
        <v>0.000983956234588839</v>
      </c>
      <c r="E231" s="282">
        <f t="shared" si="17"/>
        <v>0.002205202085499134</v>
      </c>
      <c r="F231" s="465">
        <f t="shared" si="18"/>
        <v>0.0016133019880033566</v>
      </c>
      <c r="H231" s="476"/>
      <c r="I231" s="129"/>
      <c r="J231" s="295"/>
      <c r="K231" s="333"/>
      <c r="L231" s="334"/>
      <c r="M231" s="334"/>
      <c r="N231" s="334"/>
      <c r="O231" s="334"/>
      <c r="P231" s="334"/>
      <c r="Q231" s="334"/>
      <c r="R231" s="334"/>
      <c r="T231" s="75"/>
      <c r="U231" s="75"/>
      <c r="V231" s="82"/>
    </row>
    <row r="232" spans="1:22" ht="14.25">
      <c r="A232" s="97" t="s">
        <v>682</v>
      </c>
      <c r="B232" s="282">
        <f t="shared" si="14"/>
        <v>-0.019836468033244948</v>
      </c>
      <c r="C232" s="282">
        <f t="shared" si="15"/>
        <v>1.243843343119996E-05</v>
      </c>
      <c r="D232" s="282">
        <f t="shared" si="16"/>
        <v>0</v>
      </c>
      <c r="E232" s="282">
        <f t="shared" si="17"/>
        <v>0</v>
      </c>
      <c r="F232" s="465">
        <f t="shared" si="18"/>
        <v>0</v>
      </c>
      <c r="G232" s="75"/>
      <c r="H232" s="476"/>
      <c r="I232" s="129"/>
      <c r="J232" s="295"/>
      <c r="K232" s="333"/>
      <c r="L232" s="334"/>
      <c r="M232" s="334"/>
      <c r="N232" s="334"/>
      <c r="O232" s="334"/>
      <c r="P232" s="334"/>
      <c r="Q232" s="334"/>
      <c r="R232" s="334"/>
      <c r="T232" s="75"/>
      <c r="U232" s="75"/>
      <c r="V232" s="82"/>
    </row>
    <row r="233" spans="1:22" ht="14.25">
      <c r="A233" s="286" t="s">
        <v>680</v>
      </c>
      <c r="B233" s="466">
        <f t="shared" si="14"/>
        <v>0.018823890896809206</v>
      </c>
      <c r="C233" s="466">
        <f t="shared" si="15"/>
        <v>0.021349217449006908</v>
      </c>
      <c r="D233" s="466">
        <f t="shared" si="16"/>
        <v>-0.004871894795679129</v>
      </c>
      <c r="E233" s="466">
        <f t="shared" si="17"/>
        <v>0.011596589870536486</v>
      </c>
      <c r="F233" s="467">
        <f t="shared" si="18"/>
        <v>0.008092372439876731</v>
      </c>
      <c r="H233" s="476"/>
      <c r="I233" s="202"/>
      <c r="J233" s="160"/>
      <c r="K233" s="333"/>
      <c r="L233" s="334"/>
      <c r="M233" s="334"/>
      <c r="N233" s="334"/>
      <c r="O233" s="334"/>
      <c r="P233" s="334"/>
      <c r="Q233" s="334"/>
      <c r="R233" s="334"/>
      <c r="T233" s="75"/>
      <c r="U233" s="75"/>
      <c r="V233" s="82"/>
    </row>
    <row r="234" spans="1:22" ht="14.25">
      <c r="A234" s="159" t="s">
        <v>597</v>
      </c>
      <c r="B234" s="282">
        <f t="shared" si="14"/>
        <v>0</v>
      </c>
      <c r="C234" s="282">
        <f t="shared" si="15"/>
        <v>0</v>
      </c>
      <c r="D234" s="282">
        <f t="shared" si="16"/>
        <v>0</v>
      </c>
      <c r="E234" s="282">
        <f t="shared" si="17"/>
        <v>0</v>
      </c>
      <c r="F234" s="465">
        <f t="shared" si="18"/>
        <v>0</v>
      </c>
      <c r="H234" s="476"/>
      <c r="I234" s="129"/>
      <c r="J234" s="295"/>
      <c r="K234" s="333"/>
      <c r="L234" s="334"/>
      <c r="M234" s="334"/>
      <c r="N234" s="334"/>
      <c r="O234" s="334"/>
      <c r="P234" s="334"/>
      <c r="Q234" s="334"/>
      <c r="R234" s="334"/>
      <c r="T234" s="75"/>
      <c r="U234" s="75"/>
      <c r="V234" s="82"/>
    </row>
    <row r="235" spans="1:22" ht="14.25">
      <c r="A235" s="286" t="s">
        <v>681</v>
      </c>
      <c r="B235" s="466">
        <f t="shared" si="14"/>
        <v>0.018823890896809206</v>
      </c>
      <c r="C235" s="466">
        <f t="shared" si="15"/>
        <v>0.021349217449006908</v>
      </c>
      <c r="D235" s="466">
        <f t="shared" si="16"/>
        <v>-0.004871894795679129</v>
      </c>
      <c r="E235" s="466">
        <f t="shared" si="17"/>
        <v>0.011596589870536486</v>
      </c>
      <c r="F235" s="467">
        <f t="shared" si="18"/>
        <v>0.008092372439876731</v>
      </c>
      <c r="H235" s="476"/>
      <c r="I235" s="202"/>
      <c r="J235" s="336"/>
      <c r="K235" s="333"/>
      <c r="L235" s="334"/>
      <c r="M235" s="337"/>
      <c r="N235" s="334"/>
      <c r="O235" s="338"/>
      <c r="P235" s="338"/>
      <c r="Q235" s="338"/>
      <c r="R235" s="334"/>
      <c r="T235" s="75"/>
      <c r="U235" s="75"/>
      <c r="V235" s="82"/>
    </row>
    <row r="236" spans="1:18" ht="14.25">
      <c r="A236" s="97" t="s">
        <v>301</v>
      </c>
      <c r="B236" s="282">
        <f t="shared" si="14"/>
        <v>0.019304864075319193</v>
      </c>
      <c r="C236" s="282">
        <f t="shared" si="15"/>
        <v>0.02180978981049969</v>
      </c>
      <c r="D236" s="282">
        <f t="shared" si="16"/>
        <v>-0.004431948417315469</v>
      </c>
      <c r="E236" s="282">
        <f t="shared" si="17"/>
        <v>0.012027907181992826</v>
      </c>
      <c r="F236" s="465">
        <f t="shared" si="18"/>
        <v>0.00850834594279693</v>
      </c>
      <c r="H236" s="129"/>
      <c r="I236" s="129"/>
      <c r="J236" s="336"/>
      <c r="K236" s="337"/>
      <c r="L236" s="337"/>
      <c r="M236" s="337"/>
      <c r="N236" s="338"/>
      <c r="O236" s="338"/>
      <c r="P236" s="338"/>
      <c r="Q236" s="338"/>
      <c r="R236" s="338"/>
    </row>
    <row r="237" spans="1:18" ht="14.25">
      <c r="A237" s="97"/>
      <c r="B237" s="160"/>
      <c r="C237" s="295"/>
      <c r="D237" s="295"/>
      <c r="E237" s="295"/>
      <c r="F237" s="296"/>
      <c r="H237" s="129"/>
      <c r="I237" s="129"/>
      <c r="J237" s="336"/>
      <c r="K237" s="337"/>
      <c r="L237" s="337"/>
      <c r="M237" s="337"/>
      <c r="N237" s="338"/>
      <c r="O237" s="338"/>
      <c r="P237" s="338"/>
      <c r="Q237" s="338"/>
      <c r="R237" s="338"/>
    </row>
    <row r="238" spans="1:18" ht="14.25">
      <c r="A238" s="97" t="s">
        <v>679</v>
      </c>
      <c r="B238" s="151">
        <f>SUM(B78,B98,B118,B138,B158,B178,B198,B218)</f>
        <v>2371.5154889961045</v>
      </c>
      <c r="C238" s="151">
        <f>SUM(C78,C98,C118,C138,C158,C178,C198,C218)</f>
        <v>2422.14548885437</v>
      </c>
      <c r="D238" s="151">
        <f>SUM(D78,D98,D118,D138,D158,D178,D198,D218)</f>
        <v>2410.345050852843</v>
      </c>
      <c r="E238" s="151">
        <f>SUM(E78,E98,E118,E138,E158,E178,E198,E218)</f>
        <v>2438.2968338540604</v>
      </c>
      <c r="F238" s="297">
        <f>SUM(F78,F98,F118,F138,F158,F178,F198,F218)</f>
        <v>2458.0284399525804</v>
      </c>
      <c r="H238" s="129"/>
      <c r="I238" s="129"/>
      <c r="J238" s="129"/>
      <c r="K238" s="129"/>
      <c r="L238" s="129"/>
      <c r="M238" s="129"/>
      <c r="N238" s="129"/>
      <c r="O238" s="129"/>
      <c r="P238" s="129"/>
      <c r="Q238" s="129"/>
      <c r="R238" s="129"/>
    </row>
    <row r="239" spans="1:18" ht="14.25">
      <c r="A239" s="99"/>
      <c r="B239" s="298"/>
      <c r="C239" s="298"/>
      <c r="D239" s="298"/>
      <c r="E239" s="298"/>
      <c r="F239" s="299"/>
      <c r="H239" s="129"/>
      <c r="I239" s="129"/>
      <c r="J239" s="336"/>
      <c r="K239" s="337"/>
      <c r="L239" s="337"/>
      <c r="M239" s="337"/>
      <c r="N239" s="338"/>
      <c r="O239" s="338"/>
      <c r="P239" s="338"/>
      <c r="Q239" s="338"/>
      <c r="R239" s="338"/>
    </row>
    <row r="240" spans="8:18" ht="14.25">
      <c r="H240" s="129"/>
      <c r="I240" s="267"/>
      <c r="J240" s="336"/>
      <c r="K240" s="337"/>
      <c r="L240" s="337"/>
      <c r="M240" s="337"/>
      <c r="N240" s="338"/>
      <c r="O240" s="338"/>
      <c r="P240" s="338"/>
      <c r="Q240" s="338"/>
      <c r="R240" s="338"/>
    </row>
    <row r="241" spans="8:18" ht="14.25">
      <c r="H241" s="160"/>
      <c r="I241" s="129"/>
      <c r="J241" s="129"/>
      <c r="K241" s="129"/>
      <c r="L241" s="129"/>
      <c r="M241" s="129"/>
      <c r="N241" s="129"/>
      <c r="O241" s="129"/>
      <c r="P241" s="129"/>
      <c r="Q241" s="129"/>
      <c r="R241" s="129"/>
    </row>
    <row r="242" s="129" customFormat="1" ht="14.25"/>
    <row r="243" spans="1:19" s="129" customFormat="1" ht="14.25">
      <c r="A243" s="202" t="s">
        <v>389</v>
      </c>
      <c r="H243" s="476"/>
      <c r="S243" s="160"/>
    </row>
    <row r="244" spans="1:18" s="129" customFormat="1" ht="57">
      <c r="A244" s="155"/>
      <c r="B244" s="478" t="s">
        <v>388</v>
      </c>
      <c r="C244" s="449"/>
      <c r="D244" s="449"/>
      <c r="E244" s="449"/>
      <c r="F244" s="449"/>
      <c r="G244" s="449"/>
      <c r="H244" s="449"/>
      <c r="I244" s="479"/>
      <c r="J244" s="332" t="s">
        <v>462</v>
      </c>
      <c r="K244" s="332" t="s">
        <v>463</v>
      </c>
      <c r="L244" s="332" t="s">
        <v>464</v>
      </c>
      <c r="M244" s="332" t="s">
        <v>195</v>
      </c>
      <c r="N244" s="332" t="s">
        <v>465</v>
      </c>
      <c r="O244" s="332" t="s">
        <v>466</v>
      </c>
      <c r="P244" s="332" t="s">
        <v>467</v>
      </c>
      <c r="Q244" s="332" t="s">
        <v>468</v>
      </c>
      <c r="R244" s="486" t="s">
        <v>469</v>
      </c>
    </row>
    <row r="245" spans="1:18" s="129" customFormat="1" ht="14.25">
      <c r="A245" s="159"/>
      <c r="B245" s="476"/>
      <c r="I245" s="202"/>
      <c r="J245" s="427"/>
      <c r="K245" s="427"/>
      <c r="L245" s="427"/>
      <c r="M245" s="427"/>
      <c r="N245" s="427"/>
      <c r="O245" s="427"/>
      <c r="P245" s="427"/>
      <c r="Q245" s="427"/>
      <c r="R245" s="428"/>
    </row>
    <row r="246" spans="1:18" s="129" customFormat="1" ht="14.25">
      <c r="A246" s="468" t="s">
        <v>395</v>
      </c>
      <c r="B246" s="477">
        <f aca="true" t="shared" si="19" ref="B246:B255">+(AVERAGE(1,(1+B224),(1+B224)*(1+C224),(1+B224)*(1+C224)*(1+D224),(1+B224)*(1+C224)*(1+D224)*(1+E224),(1+B224)*(1+C224)*(1+D224)*(1+E224)*(1+F224))^0.4-1)</f>
        <v>-0.0034003254219360235</v>
      </c>
      <c r="C246" s="160"/>
      <c r="D246" s="469"/>
      <c r="E246" s="469"/>
      <c r="F246" s="469"/>
      <c r="G246" s="469"/>
      <c r="H246" s="469"/>
      <c r="J246" s="477">
        <f>B246</f>
        <v>-0.0034003254219360235</v>
      </c>
      <c r="K246" s="333"/>
      <c r="L246" s="334">
        <f>IF(J246&gt;0,J246,0)</f>
        <v>0</v>
      </c>
      <c r="M246" s="334">
        <f>IF(J246&lt;0,J246,0)</f>
        <v>-0.0034003254219360235</v>
      </c>
      <c r="N246" s="334">
        <f>IF(Q41&lt;0,Q41,0)</f>
        <v>0</v>
      </c>
      <c r="O246" s="334">
        <f aca="true" t="shared" si="20" ref="O246:O252">+IF(J246*J245&lt;0,J245,0)</f>
        <v>0</v>
      </c>
      <c r="P246" s="334">
        <f aca="true" t="shared" si="21" ref="P246:P252">+IF(J246*J245&lt;0,J246,0)</f>
        <v>0</v>
      </c>
      <c r="Q246" s="334">
        <f aca="true" t="shared" si="22" ref="Q246:Q252">+IF(P246&lt;&gt;0,J246-J245,"")</f>
      </c>
      <c r="R246" s="335"/>
    </row>
    <row r="247" spans="1:18" s="129" customFormat="1" ht="14.25">
      <c r="A247" s="468" t="s">
        <v>396</v>
      </c>
      <c r="B247" s="477">
        <f t="shared" si="19"/>
        <v>-0.0004562580745994804</v>
      </c>
      <c r="C247" s="160"/>
      <c r="D247" s="469"/>
      <c r="E247" s="469"/>
      <c r="F247" s="469"/>
      <c r="G247" s="469"/>
      <c r="H247" s="469"/>
      <c r="J247" s="477">
        <f>J246+B247</f>
        <v>-0.003856583496535504</v>
      </c>
      <c r="K247" s="333">
        <f>+IF(J247*J246&gt;0,IF(J247*B247&gt;0,J246,J247),0)</f>
        <v>-0.0034003254219360235</v>
      </c>
      <c r="L247" s="334">
        <f>+IF(J247*J246&gt;0,MAX(J247-J246,0)*IF(J247&lt;0,-1,1),0)</f>
        <v>0</v>
      </c>
      <c r="M247" s="334"/>
      <c r="N247" s="334">
        <f>IF(J247*J246&gt;0,ABS(MIN(J247-J246,0))*IF(J247&lt;0,-1,1),0)</f>
        <v>-0.0004562580745994804</v>
      </c>
      <c r="O247" s="334">
        <f t="shared" si="20"/>
        <v>0</v>
      </c>
      <c r="P247" s="334">
        <f t="shared" si="21"/>
        <v>0</v>
      </c>
      <c r="Q247" s="334">
        <f t="shared" si="22"/>
      </c>
      <c r="R247" s="335"/>
    </row>
    <row r="248" spans="1:18" s="129" customFormat="1" ht="14.25">
      <c r="A248" s="468" t="s">
        <v>397</v>
      </c>
      <c r="B248" s="477">
        <f t="shared" si="19"/>
        <v>0.011672932025460048</v>
      </c>
      <c r="C248" s="160"/>
      <c r="D248" s="469"/>
      <c r="E248" s="469"/>
      <c r="F248" s="469"/>
      <c r="G248" s="469"/>
      <c r="H248" s="469"/>
      <c r="J248" s="477">
        <f>J247+B248</f>
        <v>0.007816348528924544</v>
      </c>
      <c r="K248" s="333">
        <f aca="true" t="shared" si="23" ref="K248:K253">+IF(J248*J247&gt;0,IF(J248*B248&gt;0,J247,J248),0)</f>
        <v>0</v>
      </c>
      <c r="L248" s="334">
        <f aca="true" t="shared" si="24" ref="L248:L255">+IF(J248*J247&gt;0,MAX(J248-J247,0)*IF(J248&lt;0,-1,1),0)</f>
        <v>0</v>
      </c>
      <c r="M248" s="334"/>
      <c r="N248" s="334">
        <f aca="true" t="shared" si="25" ref="N248:N255">IF(J248*J247&gt;0,ABS(MIN(J248-J247,0))*IF(J248&lt;0,-1,1),0)</f>
        <v>0</v>
      </c>
      <c r="O248" s="334">
        <f t="shared" si="20"/>
        <v>-0.003856583496535504</v>
      </c>
      <c r="P248" s="334">
        <f t="shared" si="21"/>
        <v>0.007816348528924544</v>
      </c>
      <c r="Q248" s="334">
        <f t="shared" si="22"/>
        <v>0.011672932025460048</v>
      </c>
      <c r="R248" s="335"/>
    </row>
    <row r="249" spans="1:18" s="129" customFormat="1" ht="14.25">
      <c r="A249" s="468" t="s">
        <v>398</v>
      </c>
      <c r="B249" s="477">
        <f t="shared" si="19"/>
        <v>0.005927782797981118</v>
      </c>
      <c r="C249" s="160"/>
      <c r="D249" s="469"/>
      <c r="E249" s="469"/>
      <c r="F249" s="469"/>
      <c r="G249" s="469"/>
      <c r="H249" s="469"/>
      <c r="J249" s="477">
        <f>J248+B249</f>
        <v>0.013744131326905662</v>
      </c>
      <c r="K249" s="333">
        <f t="shared" si="23"/>
        <v>0.007816348528924544</v>
      </c>
      <c r="L249" s="334">
        <f t="shared" si="24"/>
        <v>0.005927782797981118</v>
      </c>
      <c r="M249" s="334"/>
      <c r="N249" s="334">
        <f t="shared" si="25"/>
        <v>0</v>
      </c>
      <c r="O249" s="334">
        <f t="shared" si="20"/>
        <v>0</v>
      </c>
      <c r="P249" s="334">
        <f t="shared" si="21"/>
        <v>0</v>
      </c>
      <c r="Q249" s="334">
        <f t="shared" si="22"/>
      </c>
      <c r="R249" s="335"/>
    </row>
    <row r="250" spans="1:18" s="129" customFormat="1" ht="14.25">
      <c r="A250" s="468" t="s">
        <v>780</v>
      </c>
      <c r="B250" s="477">
        <f t="shared" si="19"/>
        <v>0.0032800722684038774</v>
      </c>
      <c r="C250" s="160"/>
      <c r="D250" s="469"/>
      <c r="E250" s="469"/>
      <c r="F250" s="469"/>
      <c r="G250" s="469"/>
      <c r="H250" s="469"/>
      <c r="J250" s="477">
        <f>J249+B250</f>
        <v>0.01702420359530954</v>
      </c>
      <c r="K250" s="333">
        <f t="shared" si="23"/>
        <v>0.013744131326905662</v>
      </c>
      <c r="L250" s="334">
        <f t="shared" si="24"/>
        <v>0.0032800722684038774</v>
      </c>
      <c r="M250" s="334"/>
      <c r="N250" s="334">
        <f t="shared" si="25"/>
        <v>0</v>
      </c>
      <c r="O250" s="334">
        <f t="shared" si="20"/>
        <v>0</v>
      </c>
      <c r="P250" s="334">
        <f t="shared" si="21"/>
        <v>0</v>
      </c>
      <c r="Q250" s="334">
        <f t="shared" si="22"/>
      </c>
      <c r="R250" s="335"/>
    </row>
    <row r="251" spans="1:18" s="129" customFormat="1" ht="14.25">
      <c r="A251" s="468" t="s">
        <v>276</v>
      </c>
      <c r="B251" s="477">
        <f t="shared" si="19"/>
        <v>0.0009742249525159785</v>
      </c>
      <c r="C251" s="160"/>
      <c r="D251" s="469"/>
      <c r="E251" s="469"/>
      <c r="F251" s="469"/>
      <c r="G251" s="469"/>
      <c r="H251" s="469"/>
      <c r="J251" s="477">
        <f>J250+B251</f>
        <v>0.017998428547825518</v>
      </c>
      <c r="K251" s="333">
        <f t="shared" si="23"/>
        <v>0.01702420359530954</v>
      </c>
      <c r="L251" s="334">
        <f t="shared" si="24"/>
        <v>0.0009742249525159785</v>
      </c>
      <c r="M251" s="334"/>
      <c r="N251" s="334">
        <f t="shared" si="25"/>
        <v>0</v>
      </c>
      <c r="O251" s="334">
        <f t="shared" si="20"/>
        <v>0</v>
      </c>
      <c r="P251" s="334">
        <f t="shared" si="21"/>
        <v>0</v>
      </c>
      <c r="Q251" s="334">
        <f t="shared" si="22"/>
      </c>
      <c r="R251" s="335"/>
    </row>
    <row r="252" spans="1:18" s="129" customFormat="1" ht="14.25">
      <c r="A252" s="470" t="s">
        <v>399</v>
      </c>
      <c r="B252" s="477">
        <f t="shared" si="19"/>
        <v>0.01798134898142556</v>
      </c>
      <c r="C252" s="160"/>
      <c r="D252" s="469"/>
      <c r="E252" s="469"/>
      <c r="F252" s="469"/>
      <c r="G252" s="469"/>
      <c r="H252" s="469"/>
      <c r="J252" s="477">
        <f>J251</f>
        <v>0.017998428547825518</v>
      </c>
      <c r="K252" s="333"/>
      <c r="L252" s="334">
        <f t="shared" si="24"/>
        <v>0</v>
      </c>
      <c r="M252" s="334"/>
      <c r="N252" s="334">
        <f t="shared" si="25"/>
        <v>0</v>
      </c>
      <c r="O252" s="334">
        <f t="shared" si="20"/>
        <v>0</v>
      </c>
      <c r="P252" s="334">
        <f t="shared" si="21"/>
        <v>0</v>
      </c>
      <c r="Q252" s="334">
        <f t="shared" si="22"/>
      </c>
      <c r="R252" s="335">
        <f>J252</f>
        <v>0.017998428547825518</v>
      </c>
    </row>
    <row r="253" spans="1:18" s="129" customFormat="1" ht="14.25">
      <c r="A253" s="468" t="s">
        <v>7</v>
      </c>
      <c r="B253" s="477">
        <f t="shared" si="19"/>
        <v>0.0016887021351907894</v>
      </c>
      <c r="C253" s="160"/>
      <c r="D253" s="469"/>
      <c r="E253" s="469"/>
      <c r="F253" s="469"/>
      <c r="G253" s="469"/>
      <c r="H253" s="469"/>
      <c r="J253" s="477">
        <f>J252+B253</f>
        <v>0.019687130683016307</v>
      </c>
      <c r="K253" s="333">
        <f t="shared" si="23"/>
        <v>0.017998428547825518</v>
      </c>
      <c r="L253" s="334">
        <f t="shared" si="24"/>
        <v>0.0016887021351907894</v>
      </c>
      <c r="M253" s="334"/>
      <c r="N253" s="334">
        <f t="shared" si="25"/>
        <v>0</v>
      </c>
      <c r="O253" s="334"/>
      <c r="P253" s="334"/>
      <c r="Q253" s="334"/>
      <c r="R253" s="335"/>
    </row>
    <row r="254" spans="1:18" s="129" customFormat="1" ht="14.25">
      <c r="A254" s="468" t="s">
        <v>781</v>
      </c>
      <c r="B254" s="477">
        <f t="shared" si="19"/>
        <v>-0.006641954907970371</v>
      </c>
      <c r="C254" s="160"/>
      <c r="D254" s="469"/>
      <c r="E254" s="469"/>
      <c r="F254" s="469"/>
      <c r="G254" s="469"/>
      <c r="H254" s="469"/>
      <c r="J254" s="477">
        <f>J253+B254</f>
        <v>0.013045175775045936</v>
      </c>
      <c r="K254" s="333">
        <f>+IF(J254*J253&gt;0,IF(J254*B254&gt;0,J253,J254),0)</f>
        <v>0.013045175775045936</v>
      </c>
      <c r="L254" s="334">
        <f>+IF(J254*J253&gt;0,MAX(J254-J253,0)*IF(J254&lt;0,-1,1),0)</f>
        <v>0</v>
      </c>
      <c r="M254" s="334"/>
      <c r="N254" s="334">
        <f>IF(J254*J253&gt;0,ABS(MIN(J254-J253,0))*IF(J254&lt;0,-1,1),0)</f>
        <v>0.006641954907970371</v>
      </c>
      <c r="O254" s="334">
        <f>+IF(J254*J253&lt;0,J253,0)</f>
        <v>0</v>
      </c>
      <c r="P254" s="334">
        <f>+IF(J254*J253&lt;0,J254,0)</f>
        <v>0</v>
      </c>
      <c r="Q254" s="334">
        <f>+IF(P254&lt;&gt;0,J254-J253,"")</f>
      </c>
      <c r="R254" s="335"/>
    </row>
    <row r="255" spans="1:18" s="129" customFormat="1" ht="14.25">
      <c r="A255" s="480" t="s">
        <v>400</v>
      </c>
      <c r="B255" s="482">
        <f t="shared" si="19"/>
        <v>0.013098288654902479</v>
      </c>
      <c r="C255" s="168"/>
      <c r="D255" s="481"/>
      <c r="E255" s="481"/>
      <c r="F255" s="481"/>
      <c r="G255" s="481"/>
      <c r="H255" s="481"/>
      <c r="I255" s="67"/>
      <c r="J255" s="482">
        <f>B255</f>
        <v>0.013098288654902479</v>
      </c>
      <c r="K255" s="483"/>
      <c r="L255" s="484">
        <f t="shared" si="24"/>
        <v>5.311287985654278E-05</v>
      </c>
      <c r="M255" s="484"/>
      <c r="N255" s="484">
        <f t="shared" si="25"/>
        <v>0</v>
      </c>
      <c r="O255" s="484"/>
      <c r="P255" s="484"/>
      <c r="Q255" s="484">
        <f>+IF(P255&lt;&gt;0,J255-J254,"")</f>
      </c>
      <c r="R255" s="485">
        <f>J255</f>
        <v>0.013098288654902479</v>
      </c>
    </row>
    <row r="256" spans="2:18" s="129" customFormat="1" ht="14.25">
      <c r="B256" s="160"/>
      <c r="J256" s="295"/>
      <c r="K256" s="333"/>
      <c r="L256" s="334"/>
      <c r="M256" s="334"/>
      <c r="N256" s="334"/>
      <c r="O256" s="334"/>
      <c r="P256" s="334"/>
      <c r="Q256" s="334"/>
      <c r="R256" s="334"/>
    </row>
    <row r="257" spans="2:18" s="129" customFormat="1" ht="14.25">
      <c r="B257" s="160"/>
      <c r="I257" s="202"/>
      <c r="J257" s="336"/>
      <c r="K257" s="333"/>
      <c r="L257" s="334"/>
      <c r="M257" s="337"/>
      <c r="N257" s="334"/>
      <c r="O257" s="338"/>
      <c r="P257" s="338"/>
      <c r="Q257" s="338"/>
      <c r="R257" s="334"/>
    </row>
    <row r="258" spans="10:18" s="129" customFormat="1" ht="14.25">
      <c r="J258" s="336"/>
      <c r="K258" s="337"/>
      <c r="L258" s="337"/>
      <c r="M258" s="337"/>
      <c r="N258" s="338"/>
      <c r="O258" s="338"/>
      <c r="P258" s="338"/>
      <c r="Q258" s="338"/>
      <c r="R258" s="338"/>
    </row>
    <row r="259" spans="8:19" ht="14.25">
      <c r="H259" s="129"/>
      <c r="I259" s="129"/>
      <c r="J259" s="336"/>
      <c r="K259" s="337"/>
      <c r="L259" s="337"/>
      <c r="M259" s="337"/>
      <c r="N259" s="338"/>
      <c r="O259" s="338"/>
      <c r="P259" s="338"/>
      <c r="Q259" s="338"/>
      <c r="R259" s="338"/>
      <c r="S259" s="129"/>
    </row>
  </sheetData>
  <mergeCells count="1">
    <mergeCell ref="B5:F5"/>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IV287"/>
  <sheetViews>
    <sheetView zoomScale="65" zoomScaleNormal="65" zoomScaleSheetLayoutView="75" workbookViewId="0" topLeftCell="A1">
      <pane xSplit="6" ySplit="4" topLeftCell="G5" activePane="bottomRight" state="frozen"/>
      <selection pane="topLeft" activeCell="A1" sqref="A1"/>
      <selection pane="topRight" activeCell="G1" sqref="G1"/>
      <selection pane="bottomLeft" activeCell="A5" sqref="A5"/>
      <selection pane="bottomRight" activeCell="A1" sqref="A1"/>
    </sheetView>
  </sheetViews>
  <sheetFormatPr defaultColWidth="9.00390625" defaultRowHeight="15"/>
  <cols>
    <col min="1" max="2" width="2.625" style="71" customWidth="1"/>
    <col min="3" max="3" width="71.625" style="63" customWidth="1"/>
    <col min="4" max="4" width="11.875" style="63" customWidth="1"/>
    <col min="5" max="12" width="11.125" style="63" customWidth="1"/>
    <col min="13" max="17" width="9.75390625" style="63" customWidth="1"/>
    <col min="18" max="16384" width="16.75390625" style="63" customWidth="1"/>
  </cols>
  <sheetData>
    <row r="1" ht="29.25">
      <c r="A1" s="462" t="str">
        <f>+'GDN data output sheet'!C4</f>
        <v>Wales &amp; West</v>
      </c>
    </row>
    <row r="2" ht="14.25">
      <c r="C2" s="65" t="s">
        <v>353</v>
      </c>
    </row>
    <row r="3" spans="3:53" ht="14.25">
      <c r="C3" s="63" t="s">
        <v>783</v>
      </c>
      <c r="D3" s="66"/>
      <c r="E3" s="66" t="e">
        <f>EOMONTH(StartDate,E4*12)</f>
        <v>#NAME?</v>
      </c>
      <c r="F3" s="66" t="e">
        <f>EOMONTH(StartDate,F4*12)</f>
        <v>#NAME?</v>
      </c>
      <c r="G3" s="66" t="e">
        <f>EOMONTH(StartDate,G4*12)</f>
        <v>#NAME?</v>
      </c>
      <c r="H3" s="66" t="e">
        <f>EOMONTH(StartDate,H4*12)</f>
        <v>#NAME?</v>
      </c>
      <c r="I3" s="66" t="e">
        <f>EOMONTH(StartDate,I4*12)</f>
        <v>#NAME?</v>
      </c>
      <c r="J3" s="66" t="e">
        <f>EOMONTH(StartDate,J4*12)</f>
        <v>#NAME?</v>
      </c>
      <c r="K3" s="66" t="e">
        <f>EOMONTH(StartDate,K4*12)</f>
        <v>#NAME?</v>
      </c>
      <c r="L3" s="66" t="e">
        <f>EOMONTH(StartDate,L4*12)</f>
        <v>#NAME?</v>
      </c>
      <c r="M3" s="508"/>
      <c r="N3" s="508"/>
      <c r="O3" s="508"/>
      <c r="P3" s="508"/>
      <c r="Q3" s="508"/>
      <c r="R3" s="508"/>
      <c r="S3" s="509"/>
      <c r="T3" s="50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row>
    <row r="4" spans="1:53" ht="14.25">
      <c r="A4" s="100"/>
      <c r="B4" s="100"/>
      <c r="C4" s="67" t="s">
        <v>82</v>
      </c>
      <c r="D4" s="68"/>
      <c r="E4" s="68">
        <v>4</v>
      </c>
      <c r="F4" s="68">
        <f aca="true" t="shared" si="0" ref="F4:L4">E4+1</f>
        <v>5</v>
      </c>
      <c r="G4" s="68">
        <f t="shared" si="0"/>
        <v>6</v>
      </c>
      <c r="H4" s="68">
        <f t="shared" si="0"/>
        <v>7</v>
      </c>
      <c r="I4" s="68">
        <f t="shared" si="0"/>
        <v>8</v>
      </c>
      <c r="J4" s="68">
        <f t="shared" si="0"/>
        <v>9</v>
      </c>
      <c r="K4" s="68">
        <f t="shared" si="0"/>
        <v>10</v>
      </c>
      <c r="L4" s="68">
        <f t="shared" si="0"/>
        <v>11</v>
      </c>
      <c r="M4" s="98"/>
      <c r="N4" s="98"/>
      <c r="O4" s="98"/>
      <c r="P4" s="98"/>
      <c r="Q4" s="98"/>
      <c r="R4" s="98"/>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row>
    <row r="5" spans="13:18" ht="14.25">
      <c r="M5" s="71"/>
      <c r="N5" s="71"/>
      <c r="O5" s="71"/>
      <c r="P5" s="71"/>
      <c r="Q5" s="71"/>
      <c r="R5" s="71"/>
    </row>
    <row r="6" spans="3:18" ht="14.25">
      <c r="C6" s="69" t="s">
        <v>383</v>
      </c>
      <c r="H6" s="70"/>
      <c r="I6" s="70"/>
      <c r="M6" s="71"/>
      <c r="N6" s="71"/>
      <c r="O6" s="71"/>
      <c r="P6" s="71"/>
      <c r="Q6" s="71"/>
      <c r="R6" s="71"/>
    </row>
    <row r="7" spans="8:18" ht="14.25">
      <c r="H7" s="70"/>
      <c r="M7" s="71"/>
      <c r="N7" s="71"/>
      <c r="O7" s="71"/>
      <c r="P7" s="71"/>
      <c r="Q7" s="71"/>
      <c r="R7" s="71"/>
    </row>
    <row r="8" spans="3:18" ht="14.25">
      <c r="C8" s="72" t="s">
        <v>116</v>
      </c>
      <c r="D8" s="73"/>
      <c r="E8" s="73"/>
      <c r="J8" s="74" t="s">
        <v>403</v>
      </c>
      <c r="M8" s="504"/>
      <c r="N8" s="71"/>
      <c r="O8" s="71"/>
      <c r="P8" s="76"/>
      <c r="Q8" s="71"/>
      <c r="R8" s="71"/>
    </row>
    <row r="9" spans="10:18" ht="14.25">
      <c r="J9" s="77" t="s">
        <v>814</v>
      </c>
      <c r="K9" s="78"/>
      <c r="L9" s="339">
        <v>0.0355</v>
      </c>
      <c r="M9" s="504"/>
      <c r="N9" s="71"/>
      <c r="O9" s="71"/>
      <c r="P9" s="76"/>
      <c r="Q9" s="71"/>
      <c r="R9" s="71"/>
    </row>
    <row r="10" spans="3:18" ht="14.25">
      <c r="C10" s="72" t="s">
        <v>437</v>
      </c>
      <c r="D10" s="72"/>
      <c r="E10" s="72"/>
      <c r="F10" s="71"/>
      <c r="G10" s="71"/>
      <c r="H10" s="71"/>
      <c r="J10" s="77" t="s">
        <v>815</v>
      </c>
      <c r="L10" s="339">
        <v>0.07</v>
      </c>
      <c r="M10" s="504"/>
      <c r="N10" s="71"/>
      <c r="O10" s="71"/>
      <c r="P10" s="76"/>
      <c r="Q10" s="71"/>
      <c r="R10" s="71"/>
    </row>
    <row r="11" spans="5:18" ht="14.25">
      <c r="E11" s="79"/>
      <c r="F11" s="79"/>
      <c r="G11" s="79"/>
      <c r="H11" s="79"/>
      <c r="J11" s="77" t="s">
        <v>384</v>
      </c>
      <c r="L11" s="339">
        <v>0.625</v>
      </c>
      <c r="M11" s="504"/>
      <c r="N11" s="71"/>
      <c r="O11" s="71"/>
      <c r="P11" s="76"/>
      <c r="Q11" s="71"/>
      <c r="R11" s="71"/>
    </row>
    <row r="12" spans="10:18" ht="14.25">
      <c r="J12" s="77" t="s">
        <v>386</v>
      </c>
      <c r="L12" s="340">
        <v>0.28</v>
      </c>
      <c r="M12" s="71"/>
      <c r="N12" s="71"/>
      <c r="O12" s="71"/>
      <c r="P12" s="71"/>
      <c r="Q12" s="71"/>
      <c r="R12" s="71"/>
    </row>
    <row r="13" spans="3:18" ht="14.25">
      <c r="C13" s="80" t="s">
        <v>387</v>
      </c>
      <c r="D13" s="81"/>
      <c r="E13" s="81"/>
      <c r="G13" s="75"/>
      <c r="M13" s="71"/>
      <c r="N13" s="71"/>
      <c r="O13" s="71"/>
      <c r="P13" s="71"/>
      <c r="Q13" s="71"/>
      <c r="R13" s="71"/>
    </row>
    <row r="14" spans="3:18" ht="15.75" customHeight="1">
      <c r="C14" s="81"/>
      <c r="D14" s="81"/>
      <c r="E14" s="81"/>
      <c r="G14" s="75"/>
      <c r="M14" s="90"/>
      <c r="N14" s="172"/>
      <c r="O14" s="71"/>
      <c r="P14" s="71"/>
      <c r="Q14" s="71"/>
      <c r="R14" s="71"/>
    </row>
    <row r="15" spans="3:18" ht="15.75" customHeight="1">
      <c r="C15" s="83" t="s">
        <v>143</v>
      </c>
      <c r="D15" s="84"/>
      <c r="E15" s="84"/>
      <c r="F15" s="85"/>
      <c r="G15" s="204">
        <f>'Allowed revenue'!H57</f>
        <v>0.0045330704814730005</v>
      </c>
      <c r="J15" s="69" t="s">
        <v>401</v>
      </c>
      <c r="M15" s="90"/>
      <c r="N15" s="172"/>
      <c r="O15" s="71"/>
      <c r="P15" s="71"/>
      <c r="Q15" s="71"/>
      <c r="R15" s="71"/>
    </row>
    <row r="16" spans="3:18" ht="15.75" customHeight="1">
      <c r="C16" s="86" t="s">
        <v>144</v>
      </c>
      <c r="D16" s="87"/>
      <c r="E16" s="87"/>
      <c r="F16" s="88"/>
      <c r="G16" s="205">
        <f>('Allowed revenue'!I71/'Allowed revenue'!H71)-1</f>
        <v>0.01836297265891451</v>
      </c>
      <c r="J16" s="89" t="s">
        <v>46</v>
      </c>
      <c r="L16" s="341">
        <f>L9*L11+(1-L11)*L10</f>
        <v>0.0484375</v>
      </c>
      <c r="M16" s="90"/>
      <c r="N16" s="172"/>
      <c r="O16" s="71"/>
      <c r="P16" s="71"/>
      <c r="Q16" s="71"/>
      <c r="R16" s="71"/>
    </row>
    <row r="17" spans="8:18" ht="14.25">
      <c r="H17" s="90"/>
      <c r="I17" s="89"/>
      <c r="J17" s="89" t="s">
        <v>385</v>
      </c>
      <c r="K17" s="70"/>
      <c r="L17" s="341">
        <f>L11*(L9*(1-L12))+(1-L11)*L10</f>
        <v>0.042225</v>
      </c>
      <c r="M17" s="71"/>
      <c r="N17" s="71"/>
      <c r="O17" s="71"/>
      <c r="P17" s="71"/>
      <c r="Q17" s="71"/>
      <c r="R17" s="71"/>
    </row>
    <row r="18" spans="8:18" ht="14.25">
      <c r="H18" s="90"/>
      <c r="I18" s="89"/>
      <c r="M18" s="71"/>
      <c r="N18" s="71"/>
      <c r="O18" s="71"/>
      <c r="P18" s="71"/>
      <c r="Q18" s="71"/>
      <c r="R18" s="71"/>
    </row>
    <row r="19" s="71" customFormat="1" ht="14.25"/>
    <row r="20" spans="3:12" s="71" customFormat="1" ht="14.25">
      <c r="C20" s="400" t="str">
        <f>'Breakdown by DN'!B7</f>
        <v>No profiling</v>
      </c>
      <c r="D20" s="194"/>
      <c r="E20" s="194"/>
      <c r="F20" s="194"/>
      <c r="G20" s="193"/>
      <c r="H20" s="190" t="str">
        <f>'Breakdown by DN'!C7</f>
        <v>2008/09</v>
      </c>
      <c r="I20" s="190" t="str">
        <f>'Breakdown by DN'!D7</f>
        <v>2009/10</v>
      </c>
      <c r="J20" s="190" t="str">
        <f>'Breakdown by DN'!E7</f>
        <v>2010/11</v>
      </c>
      <c r="K20" s="190" t="str">
        <f>'Breakdown by DN'!F7</f>
        <v>2011/12</v>
      </c>
      <c r="L20" s="190" t="str">
        <f>'Breakdown by DN'!G7</f>
        <v>2012/13</v>
      </c>
    </row>
    <row r="21" spans="3:12" s="71" customFormat="1" ht="14.25">
      <c r="C21" s="192" t="str">
        <f>'Breakdown by DN'!B8</f>
        <v>Change in controllables (including pensions)</v>
      </c>
      <c r="D21" s="194"/>
      <c r="E21" s="194"/>
      <c r="F21" s="194"/>
      <c r="G21" s="193"/>
      <c r="H21" s="191">
        <f>'Breakdown by DN'!C8</f>
        <v>-0.017894276092161914</v>
      </c>
      <c r="I21" s="191">
        <f>'Breakdown by DN'!D8</f>
        <v>0.0003562144705039543</v>
      </c>
      <c r="J21" s="191">
        <f>'Breakdown by DN'!E8</f>
        <v>-0.008516186119394954</v>
      </c>
      <c r="K21" s="191">
        <f>'Breakdown by DN'!F8</f>
        <v>-0.006227786027492592</v>
      </c>
      <c r="L21" s="191">
        <f>'Breakdown by DN'!G8</f>
        <v>-0.00646375294904535</v>
      </c>
    </row>
    <row r="22" spans="3:12" s="71" customFormat="1" ht="14.25">
      <c r="C22" s="192" t="str">
        <f>'Breakdown by DN'!B9</f>
        <v>Change in non controllables and pension deficit closure</v>
      </c>
      <c r="D22" s="194"/>
      <c r="E22" s="194"/>
      <c r="F22" s="194"/>
      <c r="G22" s="193"/>
      <c r="H22" s="191">
        <f>'Breakdown by DN'!C9</f>
        <v>-0.0007709174811122968</v>
      </c>
      <c r="I22" s="191">
        <f>'Breakdown by DN'!D9</f>
        <v>-0.000748720612412301</v>
      </c>
      <c r="J22" s="191">
        <f>'Breakdown by DN'!E9</f>
        <v>-0.0007027008434860059</v>
      </c>
      <c r="K22" s="191">
        <f>'Breakdown by DN'!F9</f>
        <v>-0.0006853593580732608</v>
      </c>
      <c r="L22" s="191">
        <f>'Breakdown by DN'!G9</f>
        <v>-0.0006615261412637066</v>
      </c>
    </row>
    <row r="23" spans="3:12" s="71" customFormat="1" ht="14.25">
      <c r="C23" s="192" t="str">
        <f>'Breakdown by DN'!B10</f>
        <v>Change in mains and services repex (total impact)</v>
      </c>
      <c r="D23" s="194"/>
      <c r="E23" s="194"/>
      <c r="F23" s="194"/>
      <c r="G23" s="193"/>
      <c r="H23" s="191">
        <f>'Breakdown by DN'!C10</f>
        <v>0.02640228539928632</v>
      </c>
      <c r="I23" s="191">
        <f>'Breakdown by DN'!D10</f>
        <v>0.021800857444662043</v>
      </c>
      <c r="J23" s="191">
        <f>'Breakdown by DN'!E10</f>
        <v>-0.0017723258949292771</v>
      </c>
      <c r="K23" s="191">
        <f>'Breakdown by DN'!F10</f>
        <v>0.0045418143062617745</v>
      </c>
      <c r="L23" s="191">
        <f>'Breakdown by DN'!G10</f>
        <v>0.0017003528798498467</v>
      </c>
    </row>
    <row r="24" spans="3:12" s="71" customFormat="1" ht="14.25">
      <c r="C24" s="192" t="str">
        <f>'Breakdown by DN'!B11</f>
        <v>Change in other capex and repex (total impact)</v>
      </c>
      <c r="D24" s="194"/>
      <c r="E24" s="194"/>
      <c r="F24" s="194"/>
      <c r="G24" s="193"/>
      <c r="H24" s="191">
        <f>'Breakdown by DN'!C11</f>
        <v>0.00881908733094586</v>
      </c>
      <c r="I24" s="191">
        <f>'Breakdown by DN'!D11</f>
        <v>0.013403328778325943</v>
      </c>
      <c r="J24" s="191">
        <f>'Breakdown by DN'!E11</f>
        <v>0.0071991191058483825</v>
      </c>
      <c r="K24" s="191">
        <f>'Breakdown by DN'!F11</f>
        <v>0.006741099946175348</v>
      </c>
      <c r="L24" s="191">
        <f>'Breakdown by DN'!G11</f>
        <v>0.0059615922860015635</v>
      </c>
    </row>
    <row r="25" spans="3:12" s="71" customFormat="1" ht="14.25">
      <c r="C25" s="192" t="str">
        <f>'Breakdown by DN'!B12</f>
        <v>Impact of Pot 2</v>
      </c>
      <c r="D25" s="194"/>
      <c r="E25" s="194"/>
      <c r="F25" s="194"/>
      <c r="G25" s="193"/>
      <c r="H25" s="191">
        <f>'Breakdown by DN'!C12</f>
        <v>0.006431476389174348</v>
      </c>
      <c r="I25" s="191">
        <f>'Breakdown by DN'!D12</f>
        <v>0.0049987436833405265</v>
      </c>
      <c r="J25" s="191">
        <f>'Breakdown by DN'!E12</f>
        <v>0.004126652021163449</v>
      </c>
      <c r="K25" s="191">
        <f>'Breakdown by DN'!F12</f>
        <v>0.006376362383039925</v>
      </c>
      <c r="L25" s="191">
        <f>'Breakdown by DN'!G12</f>
        <v>0.00418592147114234</v>
      </c>
    </row>
    <row r="26" spans="3:12" s="71" customFormat="1" ht="14.25">
      <c r="C26" s="195" t="str">
        <f>'Breakdown by DN'!B14</f>
        <v>Total - adjustments for changes in costs</v>
      </c>
      <c r="D26" s="196"/>
      <c r="E26" s="196"/>
      <c r="F26" s="196"/>
      <c r="G26" s="197"/>
      <c r="H26" s="198">
        <f>'Breakdown by DN'!C14</f>
        <v>0.02361338884124102</v>
      </c>
      <c r="I26" s="198">
        <f>'Breakdown by DN'!D14</f>
        <v>0.03985035296381086</v>
      </c>
      <c r="J26" s="198">
        <f>'Breakdown by DN'!E14</f>
        <v>0.00029537854453650107</v>
      </c>
      <c r="K26" s="198">
        <f>'Breakdown by DN'!F14</f>
        <v>0.010758660106354791</v>
      </c>
      <c r="L26" s="198">
        <f>'Breakdown by DN'!G14</f>
        <v>0.0047186761624714475</v>
      </c>
    </row>
    <row r="27" spans="3:12" s="71" customFormat="1" ht="14.25">
      <c r="C27" s="192" t="str">
        <f>'Breakdown by DN'!B15</f>
        <v>Tax, including impact of 2007/08 tax under recovery</v>
      </c>
      <c r="D27" s="194"/>
      <c r="E27" s="194"/>
      <c r="F27" s="194"/>
      <c r="G27" s="193"/>
      <c r="H27" s="191">
        <f>'Breakdown by DN'!C15</f>
        <v>0</v>
      </c>
      <c r="I27" s="191">
        <f>'Breakdown by DN'!D15</f>
        <v>0</v>
      </c>
      <c r="J27" s="191">
        <f>'Breakdown by DN'!E15</f>
        <v>0</v>
      </c>
      <c r="K27" s="191">
        <f>'Breakdown by DN'!F15</f>
        <v>0</v>
      </c>
      <c r="L27" s="191">
        <f>'Breakdown by DN'!G15</f>
        <v>0</v>
      </c>
    </row>
    <row r="28" spans="3:12" s="71" customFormat="1" ht="14.25">
      <c r="C28" s="192" t="str">
        <f>'Breakdown by DN'!B16</f>
        <v>Impact of change in return on capital</v>
      </c>
      <c r="D28" s="194"/>
      <c r="E28" s="194"/>
      <c r="F28" s="194"/>
      <c r="G28" s="193"/>
      <c r="H28" s="191">
        <f>'Breakdown by DN'!C16</f>
        <v>-0.019080318359768037</v>
      </c>
      <c r="I28" s="191">
        <f>'Breakdown by DN'!D16</f>
        <v>-0.0003480657072859348</v>
      </c>
      <c r="J28" s="191">
        <f>'Breakdown by DN'!E16</f>
        <v>0</v>
      </c>
      <c r="K28" s="191">
        <f>'Breakdown by DN'!F16</f>
        <v>0</v>
      </c>
      <c r="L28" s="191">
        <f>'Breakdown by DN'!G16</f>
        <v>0</v>
      </c>
    </row>
    <row r="29" spans="3:12" s="71" customFormat="1" ht="14.25">
      <c r="C29" s="195" t="str">
        <f>'Breakdown by DN'!B17</f>
        <v>Total - adjustments for changes in costs, tax and return on capital</v>
      </c>
      <c r="D29" s="196"/>
      <c r="E29" s="196"/>
      <c r="F29" s="196"/>
      <c r="G29" s="197"/>
      <c r="H29" s="198">
        <f>'Breakdown by DN'!C17</f>
        <v>0.004533070481472983</v>
      </c>
      <c r="I29" s="198">
        <f>'Breakdown by DN'!D17</f>
        <v>0.03950228725652493</v>
      </c>
      <c r="J29" s="198">
        <f>'Breakdown by DN'!E17</f>
        <v>0.00029537854453650107</v>
      </c>
      <c r="K29" s="198">
        <f>'Breakdown by DN'!F17</f>
        <v>0.010758660106354791</v>
      </c>
      <c r="L29" s="198">
        <f>'Breakdown by DN'!G17</f>
        <v>0.0047186761624714475</v>
      </c>
    </row>
    <row r="30" spans="3:12" s="71" customFormat="1" ht="14.25">
      <c r="C30" s="192" t="str">
        <f>'Breakdown by DN'!B18</f>
        <v>Profiling</v>
      </c>
      <c r="D30" s="194"/>
      <c r="E30" s="194"/>
      <c r="F30" s="194"/>
      <c r="G30" s="193"/>
      <c r="H30" s="191">
        <f>'Breakdown by DN'!C18</f>
        <v>0</v>
      </c>
      <c r="I30" s="191">
        <f>'Breakdown by DN'!D18</f>
        <v>0</v>
      </c>
      <c r="J30" s="191">
        <f>'Breakdown by DN'!E18</f>
        <v>0</v>
      </c>
      <c r="K30" s="191">
        <f>'Breakdown by DN'!F18</f>
        <v>0</v>
      </c>
      <c r="L30" s="191">
        <f>'Breakdown by DN'!G18</f>
        <v>0</v>
      </c>
    </row>
    <row r="31" spans="3:12" s="71" customFormat="1" ht="14.25">
      <c r="C31" s="195" t="str">
        <f>'Breakdown by DN'!B19</f>
        <v>Total - adjustments for changes in costs, tax, return on capital and modelling</v>
      </c>
      <c r="D31" s="196"/>
      <c r="E31" s="196"/>
      <c r="F31" s="196"/>
      <c r="G31" s="197"/>
      <c r="H31" s="198">
        <f>'Breakdown by DN'!C19</f>
        <v>0.004533070481472983</v>
      </c>
      <c r="I31" s="198">
        <f>'Breakdown by DN'!D19</f>
        <v>0.03950228725652493</v>
      </c>
      <c r="J31" s="198">
        <f>'Breakdown by DN'!E19</f>
        <v>0.00029537854453650107</v>
      </c>
      <c r="K31" s="198">
        <f>'Breakdown by DN'!F19</f>
        <v>0.010758660106354791</v>
      </c>
      <c r="L31" s="198">
        <f>'Breakdown by DN'!G19</f>
        <v>0.0047186761624714475</v>
      </c>
    </row>
    <row r="32" spans="3:18" ht="14.25">
      <c r="C32" s="192" t="str">
        <f>'Breakdown by DN'!B20</f>
        <v>Excluding non-controllable costs</v>
      </c>
      <c r="D32" s="194"/>
      <c r="E32" s="194"/>
      <c r="F32" s="194"/>
      <c r="G32" s="193"/>
      <c r="H32" s="191">
        <f>'Breakdown by DN'!C20</f>
        <v>0.00530398796258528</v>
      </c>
      <c r="I32" s="191">
        <f>'Breakdown by DN'!D20</f>
        <v>0.04025100786893723</v>
      </c>
      <c r="J32" s="191">
        <f>'Breakdown by DN'!E20</f>
        <v>0.000998079388022507</v>
      </c>
      <c r="K32" s="191">
        <f>'Breakdown by DN'!F20</f>
        <v>0.011444019464428051</v>
      </c>
      <c r="L32" s="191">
        <f>'Breakdown by DN'!G20</f>
        <v>0.005380202303735154</v>
      </c>
      <c r="M32" s="71"/>
      <c r="N32" s="71"/>
      <c r="O32" s="71"/>
      <c r="P32" s="71"/>
      <c r="Q32" s="71"/>
      <c r="R32" s="71"/>
    </row>
    <row r="33" spans="3:18" ht="14.25">
      <c r="C33" s="91"/>
      <c r="D33" s="91"/>
      <c r="E33" s="91"/>
      <c r="F33" s="92"/>
      <c r="G33" s="93"/>
      <c r="H33" s="90"/>
      <c r="I33" s="89"/>
      <c r="M33" s="71"/>
      <c r="N33" s="71"/>
      <c r="O33" s="71"/>
      <c r="P33" s="71"/>
      <c r="Q33" s="71"/>
      <c r="R33" s="71"/>
    </row>
    <row r="34" spans="3:18" ht="14.25">
      <c r="C34" s="91"/>
      <c r="D34" s="91"/>
      <c r="E34" s="91"/>
      <c r="F34" s="92"/>
      <c r="G34" s="93"/>
      <c r="H34" s="90"/>
      <c r="I34" s="89"/>
      <c r="M34" s="71"/>
      <c r="N34" s="71"/>
      <c r="O34" s="71"/>
      <c r="P34" s="71"/>
      <c r="Q34" s="71"/>
      <c r="R34" s="71"/>
    </row>
    <row r="35" spans="3:18" ht="14.25">
      <c r="C35" s="69" t="s">
        <v>145</v>
      </c>
      <c r="D35" s="69"/>
      <c r="E35" s="69"/>
      <c r="M35" s="71"/>
      <c r="N35" s="71"/>
      <c r="O35" s="71"/>
      <c r="P35" s="71"/>
      <c r="Q35" s="71"/>
      <c r="R35" s="71"/>
    </row>
    <row r="36" spans="13:18" ht="14.25">
      <c r="M36" s="71"/>
      <c r="N36" s="71"/>
      <c r="O36" s="71"/>
      <c r="P36" s="71"/>
      <c r="Q36" s="71"/>
      <c r="R36" s="71"/>
    </row>
    <row r="37" spans="3:18" ht="14.25">
      <c r="C37" s="94" t="s">
        <v>7</v>
      </c>
      <c r="D37" s="95"/>
      <c r="E37" s="95"/>
      <c r="F37" s="95"/>
      <c r="G37" s="95"/>
      <c r="H37" s="95" t="str">
        <f>Tax!H37</f>
        <v>ok!</v>
      </c>
      <c r="I37" s="95" t="str">
        <f>Tax!I37</f>
        <v>ok!</v>
      </c>
      <c r="J37" s="95" t="str">
        <f>Tax!J37</f>
        <v>ok!</v>
      </c>
      <c r="K37" s="95" t="str">
        <f>Tax!K37</f>
        <v>ok!</v>
      </c>
      <c r="L37" s="95" t="str">
        <f>Tax!L37</f>
        <v>ok!</v>
      </c>
      <c r="M37" s="95"/>
      <c r="N37" s="95"/>
      <c r="O37" s="95"/>
      <c r="P37" s="95"/>
      <c r="Q37" s="158"/>
      <c r="R37" s="71"/>
    </row>
    <row r="38" spans="3:18" ht="14.25">
      <c r="C38" s="97" t="s">
        <v>528</v>
      </c>
      <c r="D38" s="98"/>
      <c r="E38" s="98"/>
      <c r="F38" s="98"/>
      <c r="G38" s="98"/>
      <c r="H38" s="98" t="str">
        <f>'Output checks'!H40</f>
        <v>ok!</v>
      </c>
      <c r="I38" s="98" t="str">
        <f>'Output checks'!I40</f>
        <v>ok!</v>
      </c>
      <c r="J38" s="98" t="str">
        <f>'Output checks'!J40</f>
        <v>ok!</v>
      </c>
      <c r="K38" s="98" t="str">
        <f>'Output checks'!K40</f>
        <v>ok!</v>
      </c>
      <c r="L38" s="98" t="str">
        <f>'Output checks'!L40</f>
        <v>ok!</v>
      </c>
      <c r="M38" s="98"/>
      <c r="N38" s="98"/>
      <c r="O38" s="98"/>
      <c r="P38" s="98"/>
      <c r="Q38" s="162"/>
      <c r="R38" s="71"/>
    </row>
    <row r="39" spans="3:18" ht="14.25">
      <c r="C39" s="97" t="s">
        <v>751</v>
      </c>
      <c r="D39" s="98"/>
      <c r="E39" s="98"/>
      <c r="F39" s="98"/>
      <c r="G39" s="453"/>
      <c r="H39" s="453" t="str">
        <f>+'Balance Sheet (nominal)'!H55</f>
        <v>ok!</v>
      </c>
      <c r="I39" s="453" t="str">
        <f>+'Balance Sheet (nominal)'!I55</f>
        <v>ok!</v>
      </c>
      <c r="J39" s="453" t="str">
        <f>+'Balance Sheet (nominal)'!J55</f>
        <v>ok!</v>
      </c>
      <c r="K39" s="453" t="str">
        <f>+'Balance Sheet (nominal)'!K55</f>
        <v>ok!</v>
      </c>
      <c r="L39" s="453" t="str">
        <f>+'Balance Sheet (nominal)'!L55</f>
        <v>ok!</v>
      </c>
      <c r="M39" s="453"/>
      <c r="N39" s="453"/>
      <c r="O39" s="453"/>
      <c r="P39" s="453"/>
      <c r="Q39" s="505"/>
      <c r="R39" s="71"/>
    </row>
    <row r="40" spans="3:18" ht="14.25">
      <c r="C40" s="97" t="s">
        <v>147</v>
      </c>
      <c r="D40" s="98"/>
      <c r="E40" s="98"/>
      <c r="F40" s="98"/>
      <c r="G40" s="98"/>
      <c r="H40" s="98" t="str">
        <f>+NominalRAV!H101</f>
        <v>ok!</v>
      </c>
      <c r="I40" s="98" t="str">
        <f>+NominalRAV!I101</f>
        <v>ok!</v>
      </c>
      <c r="J40" s="98" t="str">
        <f>+NominalRAV!J101</f>
        <v>ok!</v>
      </c>
      <c r="K40" s="98" t="str">
        <f>+NominalRAV!K101</f>
        <v>ok!</v>
      </c>
      <c r="L40" s="98" t="str">
        <f>+NominalRAV!L101</f>
        <v>ok!</v>
      </c>
      <c r="M40" s="98"/>
      <c r="N40" s="98"/>
      <c r="O40" s="98"/>
      <c r="P40" s="98"/>
      <c r="Q40" s="162"/>
      <c r="R40" s="71"/>
    </row>
    <row r="41" spans="3:18" ht="14.25">
      <c r="C41" s="97" t="s">
        <v>456</v>
      </c>
      <c r="D41" s="98"/>
      <c r="E41" s="98"/>
      <c r="F41" s="98"/>
      <c r="G41" s="98"/>
      <c r="H41" s="98" t="str">
        <f>+IF(ABS(H31-'Allowed revenue'!H58)&lt;0.1%,"ok!","oh no!")</f>
        <v>ok!</v>
      </c>
      <c r="I41" s="98" t="str">
        <f>+IF(ABS(I31-'Allowed revenue'!I58)&lt;0.1%,"ok!","oh no!")</f>
        <v>ok!</v>
      </c>
      <c r="J41" s="98" t="str">
        <f>+IF(ABS(J31-'Allowed revenue'!J58)&lt;0.1%,"ok!","oh no!")</f>
        <v>ok!</v>
      </c>
      <c r="K41" s="98" t="str">
        <f>+IF(ABS(K31-'Allowed revenue'!K58)&lt;0.1%,"ok!","oh no!")</f>
        <v>ok!</v>
      </c>
      <c r="L41" s="98" t="str">
        <f>+IF(ABS(L31-'Allowed revenue'!L58)&lt;0.1%,"ok!","oh no!")</f>
        <v>ok!</v>
      </c>
      <c r="M41" s="98"/>
      <c r="N41" s="98"/>
      <c r="O41" s="98"/>
      <c r="P41" s="98"/>
      <c r="Q41" s="162"/>
      <c r="R41" s="71"/>
    </row>
    <row r="42" spans="3:18" ht="14.25">
      <c r="C42" s="97" t="s">
        <v>512</v>
      </c>
      <c r="D42" s="98"/>
      <c r="E42" s="98"/>
      <c r="F42" s="98"/>
      <c r="G42" s="98"/>
      <c r="H42" s="98" t="str">
        <f>'Output checks'!H52</f>
        <v>ok!</v>
      </c>
      <c r="I42" s="98" t="str">
        <f>'Output checks'!I52</f>
        <v>ok!</v>
      </c>
      <c r="J42" s="98" t="str">
        <f>'Output checks'!J52</f>
        <v>ok!</v>
      </c>
      <c r="K42" s="98" t="str">
        <f>'Output checks'!K52</f>
        <v>ok!</v>
      </c>
      <c r="L42" s="98" t="str">
        <f>'Output checks'!L52</f>
        <v>ok!</v>
      </c>
      <c r="M42" s="98"/>
      <c r="N42" s="98"/>
      <c r="O42" s="98"/>
      <c r="P42" s="98"/>
      <c r="Q42" s="162"/>
      <c r="R42" s="71"/>
    </row>
    <row r="43" spans="3:18" ht="14.25">
      <c r="C43" s="159"/>
      <c r="D43" s="98"/>
      <c r="E43" s="98"/>
      <c r="F43" s="98"/>
      <c r="G43" s="98"/>
      <c r="H43" s="98"/>
      <c r="I43" s="98"/>
      <c r="J43" s="98"/>
      <c r="K43" s="98"/>
      <c r="L43" s="98"/>
      <c r="M43" s="98"/>
      <c r="N43" s="98"/>
      <c r="O43" s="98"/>
      <c r="P43" s="98"/>
      <c r="Q43" s="162"/>
      <c r="R43" s="71"/>
    </row>
    <row r="44" spans="3:18" ht="14.25">
      <c r="C44" s="99" t="s">
        <v>352</v>
      </c>
      <c r="D44" s="100"/>
      <c r="E44" s="100"/>
      <c r="F44" s="100"/>
      <c r="G44" s="67" t="str">
        <f>+IF(ABS('Allowed revenue'!G48-Input!G83)&gt;0.1,"oh no!","ok!")</f>
        <v>ok!</v>
      </c>
      <c r="H44" s="100"/>
      <c r="I44" s="100"/>
      <c r="J44" s="100"/>
      <c r="K44" s="495"/>
      <c r="L44" s="100"/>
      <c r="M44" s="100"/>
      <c r="N44" s="100"/>
      <c r="O44" s="100"/>
      <c r="P44" s="100"/>
      <c r="Q44" s="506"/>
      <c r="R44" s="71"/>
    </row>
    <row r="45" spans="3:18" ht="14.25">
      <c r="C45" s="90"/>
      <c r="K45" s="458"/>
      <c r="M45" s="71"/>
      <c r="N45" s="71"/>
      <c r="O45" s="71"/>
      <c r="P45" s="71"/>
      <c r="Q45" s="71"/>
      <c r="R45" s="71"/>
    </row>
    <row r="46" spans="4:18" ht="14.25">
      <c r="D46" s="75"/>
      <c r="M46" s="71"/>
      <c r="N46" s="71"/>
      <c r="O46" s="71"/>
      <c r="P46" s="71"/>
      <c r="Q46" s="71"/>
      <c r="R46" s="71"/>
    </row>
    <row r="47" spans="3:18" ht="14.25">
      <c r="C47" s="69" t="s">
        <v>81</v>
      </c>
      <c r="M47" s="71"/>
      <c r="N47" s="71"/>
      <c r="O47" s="71"/>
      <c r="P47" s="71"/>
      <c r="Q47" s="71"/>
      <c r="R47" s="71"/>
    </row>
    <row r="48" spans="3:18" ht="14.25">
      <c r="C48" s="63" t="s">
        <v>784</v>
      </c>
      <c r="D48" s="102">
        <v>37346</v>
      </c>
      <c r="M48" s="71"/>
      <c r="N48" s="71"/>
      <c r="O48" s="71"/>
      <c r="P48" s="71"/>
      <c r="Q48" s="71"/>
      <c r="R48" s="71"/>
    </row>
    <row r="49" spans="3:18" ht="14.25">
      <c r="C49" s="63" t="s">
        <v>315</v>
      </c>
      <c r="D49" s="343"/>
      <c r="E49" s="104">
        <f>+'RPI factors'!J5</f>
        <v>193.11</v>
      </c>
      <c r="F49" s="105">
        <f aca="true" t="shared" si="1" ref="F49:L49">E49*(1+F51)</f>
        <v>197.93775</v>
      </c>
      <c r="G49" s="106">
        <f>F49*(1+G51)</f>
        <v>202.88619375</v>
      </c>
      <c r="H49" s="106">
        <f t="shared" si="1"/>
        <v>207.95834859374997</v>
      </c>
      <c r="I49" s="106">
        <f t="shared" si="1"/>
        <v>213.15730730859372</v>
      </c>
      <c r="J49" s="106">
        <f t="shared" si="1"/>
        <v>218.48623999130854</v>
      </c>
      <c r="K49" s="106">
        <f t="shared" si="1"/>
        <v>223.94839599109122</v>
      </c>
      <c r="L49" s="106">
        <f t="shared" si="1"/>
        <v>229.54710589086847</v>
      </c>
      <c r="M49" s="507"/>
      <c r="N49" s="507"/>
      <c r="O49" s="507"/>
      <c r="P49" s="507"/>
      <c r="Q49" s="507"/>
      <c r="R49" s="71"/>
    </row>
    <row r="50" spans="3:18" ht="14.25">
      <c r="C50" s="63" t="s">
        <v>61</v>
      </c>
      <c r="D50" s="343"/>
      <c r="E50" s="105">
        <f>'RPI factors'!I5</f>
        <v>188.15</v>
      </c>
      <c r="F50" s="105">
        <f aca="true" t="shared" si="2" ref="F50:L50">E49</f>
        <v>193.11</v>
      </c>
      <c r="G50" s="106">
        <f>F49</f>
        <v>197.93775</v>
      </c>
      <c r="H50" s="106">
        <f t="shared" si="2"/>
        <v>202.88619375</v>
      </c>
      <c r="I50" s="106">
        <f t="shared" si="2"/>
        <v>207.95834859374997</v>
      </c>
      <c r="J50" s="106">
        <f>I49</f>
        <v>213.15730730859372</v>
      </c>
      <c r="K50" s="106">
        <f t="shared" si="2"/>
        <v>218.48623999130854</v>
      </c>
      <c r="L50" s="106">
        <f t="shared" si="2"/>
        <v>223.94839599109122</v>
      </c>
      <c r="M50" s="507"/>
      <c r="N50" s="507"/>
      <c r="O50" s="507"/>
      <c r="P50" s="507"/>
      <c r="Q50" s="507"/>
      <c r="R50" s="71"/>
    </row>
    <row r="51" spans="3:18" ht="14.25">
      <c r="C51" s="63" t="s">
        <v>5</v>
      </c>
      <c r="D51" s="343"/>
      <c r="E51" s="107"/>
      <c r="F51" s="457">
        <f>'RPI factors'!$D$30</f>
        <v>0.025</v>
      </c>
      <c r="G51" s="457">
        <f>'RPI factors'!$D$30</f>
        <v>0.025</v>
      </c>
      <c r="H51" s="457">
        <f>'RPI factors'!$D$30</f>
        <v>0.025</v>
      </c>
      <c r="I51" s="457">
        <f>'RPI factors'!$D$30</f>
        <v>0.025</v>
      </c>
      <c r="J51" s="457">
        <f>'RPI factors'!$D$30</f>
        <v>0.025</v>
      </c>
      <c r="K51" s="457">
        <f>'RPI factors'!$D$30</f>
        <v>0.025</v>
      </c>
      <c r="L51" s="457">
        <f>'RPI factors'!$D$30</f>
        <v>0.025</v>
      </c>
      <c r="M51" s="345"/>
      <c r="N51" s="345"/>
      <c r="O51" s="345"/>
      <c r="P51" s="345"/>
      <c r="Q51" s="345"/>
      <c r="R51" s="71"/>
    </row>
    <row r="52" spans="3:18" ht="14.25">
      <c r="C52" s="63" t="s">
        <v>428</v>
      </c>
      <c r="D52" s="344"/>
      <c r="E52" s="109">
        <f aca="true" t="shared" si="3" ref="E52:L52">E49/E50</f>
        <v>1.0263619452564443</v>
      </c>
      <c r="F52" s="109">
        <f t="shared" si="3"/>
        <v>1.025</v>
      </c>
      <c r="G52" s="109">
        <f t="shared" si="3"/>
        <v>1.025</v>
      </c>
      <c r="H52" s="109">
        <f t="shared" si="3"/>
        <v>1.025</v>
      </c>
      <c r="I52" s="109">
        <f t="shared" si="3"/>
        <v>1.025</v>
      </c>
      <c r="J52" s="109">
        <f t="shared" si="3"/>
        <v>1.025</v>
      </c>
      <c r="K52" s="109">
        <f t="shared" si="3"/>
        <v>1.025</v>
      </c>
      <c r="L52" s="109">
        <f t="shared" si="3"/>
        <v>1.025</v>
      </c>
      <c r="M52" s="344"/>
      <c r="N52" s="344"/>
      <c r="O52" s="344"/>
      <c r="P52" s="344"/>
      <c r="Q52" s="344"/>
      <c r="R52" s="71"/>
    </row>
    <row r="53" spans="4:18" ht="14.25">
      <c r="D53" s="343"/>
      <c r="E53" s="77"/>
      <c r="M53" s="71"/>
      <c r="N53" s="71"/>
      <c r="O53" s="71"/>
      <c r="P53" s="71"/>
      <c r="Q53" s="71"/>
      <c r="R53" s="71"/>
    </row>
    <row r="54" spans="3:18" ht="14.25">
      <c r="C54" s="121"/>
      <c r="D54" s="345"/>
      <c r="E54" s="345"/>
      <c r="F54" s="345"/>
      <c r="G54" s="345"/>
      <c r="H54" s="345"/>
      <c r="I54" s="345"/>
      <c r="J54" s="345"/>
      <c r="K54" s="345"/>
      <c r="L54" s="345"/>
      <c r="M54" s="345"/>
      <c r="N54" s="345"/>
      <c r="O54" s="345"/>
      <c r="P54" s="345"/>
      <c r="Q54" s="345"/>
      <c r="R54" s="71"/>
    </row>
    <row r="55" spans="3:18" ht="14.25">
      <c r="C55" s="77" t="s">
        <v>816</v>
      </c>
      <c r="D55" s="345"/>
      <c r="E55" s="108">
        <v>0.0465</v>
      </c>
      <c r="F55" s="108">
        <v>0.0465</v>
      </c>
      <c r="G55" s="108">
        <v>0.0465</v>
      </c>
      <c r="H55" s="108">
        <f>L9</f>
        <v>0.0355</v>
      </c>
      <c r="I55" s="108">
        <f aca="true" t="shared" si="4" ref="I55:L56">H55</f>
        <v>0.0355</v>
      </c>
      <c r="J55" s="108">
        <f t="shared" si="4"/>
        <v>0.0355</v>
      </c>
      <c r="K55" s="108">
        <f t="shared" si="4"/>
        <v>0.0355</v>
      </c>
      <c r="L55" s="108">
        <f t="shared" si="4"/>
        <v>0.0355</v>
      </c>
      <c r="M55" s="345"/>
      <c r="N55" s="345"/>
      <c r="O55" s="345"/>
      <c r="P55" s="345"/>
      <c r="Q55" s="345"/>
      <c r="R55" s="71"/>
    </row>
    <row r="56" spans="2:18" ht="14.25">
      <c r="B56" s="122"/>
      <c r="C56" s="77" t="s">
        <v>817</v>
      </c>
      <c r="D56" s="345"/>
      <c r="E56" s="108">
        <v>0.0625</v>
      </c>
      <c r="F56" s="108">
        <v>0.0625</v>
      </c>
      <c r="G56" s="108">
        <v>0.0625</v>
      </c>
      <c r="H56" s="108">
        <f>L10</f>
        <v>0.07</v>
      </c>
      <c r="I56" s="108">
        <f t="shared" si="4"/>
        <v>0.07</v>
      </c>
      <c r="J56" s="108">
        <f t="shared" si="4"/>
        <v>0.07</v>
      </c>
      <c r="K56" s="108">
        <f t="shared" si="4"/>
        <v>0.07</v>
      </c>
      <c r="L56" s="108">
        <f t="shared" si="4"/>
        <v>0.07</v>
      </c>
      <c r="M56" s="345"/>
      <c r="N56" s="345"/>
      <c r="O56" s="345"/>
      <c r="P56" s="345"/>
      <c r="Q56" s="345"/>
      <c r="R56" s="71"/>
    </row>
    <row r="57" spans="3:18" ht="14.25">
      <c r="C57" s="77" t="s">
        <v>42</v>
      </c>
      <c r="D57" s="342"/>
      <c r="E57" s="114">
        <v>0.625</v>
      </c>
      <c r="F57" s="114">
        <v>0.625</v>
      </c>
      <c r="G57" s="114">
        <v>0.625</v>
      </c>
      <c r="H57" s="113"/>
      <c r="I57" s="113"/>
      <c r="J57" s="113"/>
      <c r="K57" s="113"/>
      <c r="L57" s="113"/>
      <c r="M57" s="113"/>
      <c r="N57" s="113"/>
      <c r="O57" s="113"/>
      <c r="P57" s="113"/>
      <c r="Q57" s="113"/>
      <c r="R57" s="71"/>
    </row>
    <row r="58" spans="3:18" ht="14.25">
      <c r="C58" s="77" t="s">
        <v>43</v>
      </c>
      <c r="D58" s="342"/>
      <c r="E58" s="113"/>
      <c r="F58" s="113"/>
      <c r="G58" s="114">
        <v>0.625</v>
      </c>
      <c r="H58" s="113"/>
      <c r="I58" s="113"/>
      <c r="J58" s="113"/>
      <c r="K58" s="113"/>
      <c r="L58" s="113"/>
      <c r="M58" s="113"/>
      <c r="N58" s="113"/>
      <c r="O58" s="113"/>
      <c r="P58" s="113"/>
      <c r="Q58" s="113"/>
      <c r="R58" s="71"/>
    </row>
    <row r="59" spans="3:18" ht="14.25">
      <c r="C59" s="77" t="s">
        <v>12</v>
      </c>
      <c r="D59" s="342"/>
      <c r="E59" s="111">
        <f aca="true" t="shared" si="5" ref="E59:L59">IF(E4&lt;6.5,30%,$L$12)</f>
        <v>0.3</v>
      </c>
      <c r="F59" s="111">
        <f t="shared" si="5"/>
        <v>0.3</v>
      </c>
      <c r="G59" s="111">
        <f t="shared" si="5"/>
        <v>0.3</v>
      </c>
      <c r="H59" s="111">
        <f t="shared" si="5"/>
        <v>0.28</v>
      </c>
      <c r="I59" s="111">
        <f t="shared" si="5"/>
        <v>0.28</v>
      </c>
      <c r="J59" s="111">
        <f t="shared" si="5"/>
        <v>0.28</v>
      </c>
      <c r="K59" s="111">
        <f t="shared" si="5"/>
        <v>0.28</v>
      </c>
      <c r="L59" s="111">
        <f t="shared" si="5"/>
        <v>0.28</v>
      </c>
      <c r="M59" s="342"/>
      <c r="N59" s="342"/>
      <c r="O59" s="342"/>
      <c r="P59" s="342"/>
      <c r="Q59" s="342"/>
      <c r="R59" s="71"/>
    </row>
    <row r="60" spans="3:18" ht="14.25">
      <c r="C60" s="77" t="s">
        <v>700</v>
      </c>
      <c r="D60" s="113"/>
      <c r="E60" s="457">
        <f>E55+E52-1</f>
        <v>0.0728619452564443</v>
      </c>
      <c r="F60" s="457">
        <f aca="true" t="shared" si="6" ref="F60:L60">F55+F52-1</f>
        <v>0.0714999999999999</v>
      </c>
      <c r="G60" s="457">
        <f t="shared" si="6"/>
        <v>0.0714999999999999</v>
      </c>
      <c r="H60" s="457">
        <f t="shared" si="6"/>
        <v>0.0605</v>
      </c>
      <c r="I60" s="457">
        <f t="shared" si="6"/>
        <v>0.0605</v>
      </c>
      <c r="J60" s="457">
        <f t="shared" si="6"/>
        <v>0.0605</v>
      </c>
      <c r="K60" s="457">
        <f t="shared" si="6"/>
        <v>0.0605</v>
      </c>
      <c r="L60" s="457">
        <f t="shared" si="6"/>
        <v>0.0605</v>
      </c>
      <c r="M60" s="345"/>
      <c r="N60" s="345"/>
      <c r="O60" s="345"/>
      <c r="P60" s="345"/>
      <c r="Q60" s="345"/>
      <c r="R60" s="71"/>
    </row>
    <row r="61" spans="3:18" ht="14.25">
      <c r="C61" s="77" t="s">
        <v>701</v>
      </c>
      <c r="D61" s="113"/>
      <c r="E61" s="457">
        <f>E55+((ROUND((E52-1),8)*(1-E66)))</f>
        <v>0.07286195</v>
      </c>
      <c r="F61" s="457">
        <f aca="true" t="shared" si="7" ref="F61:L61">F55+((ROUND((F52-1),8)*(1-F66)))</f>
        <v>0.07150000000000001</v>
      </c>
      <c r="G61" s="457">
        <f t="shared" si="7"/>
        <v>0.07150000000000001</v>
      </c>
      <c r="H61" s="457">
        <f t="shared" si="7"/>
        <v>0.0605</v>
      </c>
      <c r="I61" s="457">
        <f t="shared" si="7"/>
        <v>0.0605</v>
      </c>
      <c r="J61" s="457">
        <f t="shared" si="7"/>
        <v>0.0605</v>
      </c>
      <c r="K61" s="457">
        <f t="shared" si="7"/>
        <v>0.0605</v>
      </c>
      <c r="L61" s="457">
        <f t="shared" si="7"/>
        <v>0.0605</v>
      </c>
      <c r="M61" s="345"/>
      <c r="N61" s="345"/>
      <c r="O61" s="345"/>
      <c r="P61" s="345"/>
      <c r="Q61" s="345"/>
      <c r="R61" s="71"/>
    </row>
    <row r="62" spans="3:18" ht="14.25">
      <c r="C62" s="77" t="s">
        <v>753</v>
      </c>
      <c r="D62" s="113"/>
      <c r="E62" s="112">
        <f>E56</f>
        <v>0.0625</v>
      </c>
      <c r="F62" s="112">
        <f aca="true" t="shared" si="8" ref="F62:L62">F56</f>
        <v>0.0625</v>
      </c>
      <c r="G62" s="112">
        <f t="shared" si="8"/>
        <v>0.0625</v>
      </c>
      <c r="H62" s="112">
        <f t="shared" si="8"/>
        <v>0.07</v>
      </c>
      <c r="I62" s="112">
        <f t="shared" si="8"/>
        <v>0.07</v>
      </c>
      <c r="J62" s="112">
        <f t="shared" si="8"/>
        <v>0.07</v>
      </c>
      <c r="K62" s="112">
        <f t="shared" si="8"/>
        <v>0.07</v>
      </c>
      <c r="L62" s="112">
        <f t="shared" si="8"/>
        <v>0.07</v>
      </c>
      <c r="M62" s="113"/>
      <c r="N62" s="113"/>
      <c r="O62" s="113"/>
      <c r="P62" s="113"/>
      <c r="Q62" s="113"/>
      <c r="R62" s="71"/>
    </row>
    <row r="63" spans="3:18" ht="14.25">
      <c r="C63" s="77" t="s">
        <v>483</v>
      </c>
      <c r="D63" s="113"/>
      <c r="E63" s="114">
        <v>0.035</v>
      </c>
      <c r="F63" s="114">
        <v>0.035</v>
      </c>
      <c r="G63" s="114">
        <v>0.035</v>
      </c>
      <c r="H63" s="114">
        <v>0.035</v>
      </c>
      <c r="I63" s="114">
        <v>0.035</v>
      </c>
      <c r="J63" s="114">
        <v>0.035</v>
      </c>
      <c r="K63" s="114">
        <v>0.035</v>
      </c>
      <c r="L63" s="114">
        <v>0.035</v>
      </c>
      <c r="M63" s="113"/>
      <c r="N63" s="113"/>
      <c r="O63" s="113"/>
      <c r="P63" s="113"/>
      <c r="Q63" s="113"/>
      <c r="R63" s="71"/>
    </row>
    <row r="64" spans="3:18" ht="14.25">
      <c r="C64" s="121"/>
      <c r="D64" s="113"/>
      <c r="E64" s="113"/>
      <c r="F64" s="113"/>
      <c r="G64" s="113"/>
      <c r="H64" s="113"/>
      <c r="I64" s="113"/>
      <c r="J64" s="113"/>
      <c r="K64" s="113"/>
      <c r="L64" s="113"/>
      <c r="M64" s="113"/>
      <c r="N64" s="113"/>
      <c r="O64" s="113"/>
      <c r="P64" s="113"/>
      <c r="Q64" s="113"/>
      <c r="R64" s="71"/>
    </row>
    <row r="65" spans="3:18" ht="14.25">
      <c r="C65" s="63" t="s">
        <v>20</v>
      </c>
      <c r="D65" s="343"/>
      <c r="E65" s="77"/>
      <c r="G65" s="454"/>
      <c r="H65" s="464">
        <v>0</v>
      </c>
      <c r="I65" s="71"/>
      <c r="J65" s="71"/>
      <c r="K65" s="71"/>
      <c r="L65" s="71"/>
      <c r="M65" s="71"/>
      <c r="N65" s="71"/>
      <c r="O65" s="71"/>
      <c r="P65" s="71"/>
      <c r="Q65" s="71"/>
      <c r="R65" s="71"/>
    </row>
    <row r="66" spans="3:18" ht="14.25">
      <c r="C66" s="77" t="s">
        <v>2</v>
      </c>
      <c r="D66" s="113"/>
      <c r="E66" s="114">
        <f>IF(E4&lt;6.5,0,$H$65)</f>
        <v>0</v>
      </c>
      <c r="F66" s="114">
        <f aca="true" t="shared" si="9" ref="F66:L66">IF(F4&lt;6.5,0,$H$65)</f>
        <v>0</v>
      </c>
      <c r="G66" s="114">
        <f t="shared" si="9"/>
        <v>0</v>
      </c>
      <c r="H66" s="112">
        <f t="shared" si="9"/>
        <v>0</v>
      </c>
      <c r="I66" s="112">
        <f t="shared" si="9"/>
        <v>0</v>
      </c>
      <c r="J66" s="112">
        <f t="shared" si="9"/>
        <v>0</v>
      </c>
      <c r="K66" s="112">
        <f t="shared" si="9"/>
        <v>0</v>
      </c>
      <c r="L66" s="112">
        <f t="shared" si="9"/>
        <v>0</v>
      </c>
      <c r="M66" s="113"/>
      <c r="N66" s="113"/>
      <c r="O66" s="113"/>
      <c r="P66" s="113"/>
      <c r="Q66" s="113"/>
      <c r="R66" s="71"/>
    </row>
    <row r="67" spans="3:18" ht="14.25">
      <c r="C67" s="77" t="s">
        <v>404</v>
      </c>
      <c r="D67" s="113"/>
      <c r="E67" s="114">
        <f>IF(E4&lt;6.5,$D$201,CHOOSE($B$204,$D$201,$D$202,$D$203))</f>
        <v>0.5</v>
      </c>
      <c r="F67" s="114">
        <f aca="true" t="shared" si="10" ref="F67:L67">IF(F4&lt;6.5,$D$201,CHOOSE($B$204,$D$201,$D$202,$D$203))</f>
        <v>0.5</v>
      </c>
      <c r="G67" s="114">
        <f t="shared" si="10"/>
        <v>0.5</v>
      </c>
      <c r="H67" s="112">
        <f t="shared" si="10"/>
        <v>0.5</v>
      </c>
      <c r="I67" s="112">
        <f t="shared" si="10"/>
        <v>0.5</v>
      </c>
      <c r="J67" s="112">
        <f t="shared" si="10"/>
        <v>0.5</v>
      </c>
      <c r="K67" s="112">
        <f t="shared" si="10"/>
        <v>0.5</v>
      </c>
      <c r="L67" s="112">
        <f t="shared" si="10"/>
        <v>0.5</v>
      </c>
      <c r="M67" s="113"/>
      <c r="N67" s="113"/>
      <c r="O67" s="113"/>
      <c r="P67" s="113"/>
      <c r="Q67" s="113"/>
      <c r="R67" s="71"/>
    </row>
    <row r="68" spans="3:18" ht="14.25">
      <c r="C68" s="77"/>
      <c r="D68" s="113"/>
      <c r="E68" s="113"/>
      <c r="F68" s="113"/>
      <c r="G68" s="113"/>
      <c r="H68" s="115"/>
      <c r="I68" s="115"/>
      <c r="J68" s="115"/>
      <c r="K68" s="115"/>
      <c r="L68" s="115"/>
      <c r="M68" s="71"/>
      <c r="N68" s="71"/>
      <c r="O68" s="71"/>
      <c r="P68" s="71"/>
      <c r="Q68" s="71"/>
      <c r="R68" s="71"/>
    </row>
    <row r="69" spans="3:18" ht="14.25">
      <c r="C69" s="110" t="s">
        <v>533</v>
      </c>
      <c r="D69" s="71"/>
      <c r="E69" s="113"/>
      <c r="F69" s="113"/>
      <c r="G69" s="113"/>
      <c r="H69" s="115"/>
      <c r="I69" s="115"/>
      <c r="J69" s="115"/>
      <c r="K69" s="115"/>
      <c r="L69" s="115"/>
      <c r="M69" s="71"/>
      <c r="N69" s="71"/>
      <c r="O69" s="71"/>
      <c r="P69" s="71"/>
      <c r="Q69" s="71"/>
      <c r="R69" s="71"/>
    </row>
    <row r="70" spans="3:18" ht="14.25">
      <c r="C70" s="77" t="s">
        <v>309</v>
      </c>
      <c r="D70" s="71"/>
      <c r="E70" s="116">
        <f>CHOOSE($B$196,East!E8,London!E8,'North West'!E8,'West Midlands'!E8,Northern!E8,Scotland!E8,Southern!E8,'Wales &amp; West'!E8)</f>
        <v>227.31297140073747</v>
      </c>
      <c r="F70" s="116">
        <f>CHOOSE($B$196,East!F8,London!F8,'North West'!F8,'West Midlands'!F8,Northern!F8,Scotland!F8,Southern!F8,'Wales &amp; West'!F8)</f>
        <v>223.28464457805927</v>
      </c>
      <c r="G70" s="117"/>
      <c r="H70" s="117"/>
      <c r="I70" s="117"/>
      <c r="J70" s="117"/>
      <c r="K70" s="117"/>
      <c r="L70" s="117"/>
      <c r="M70" s="124"/>
      <c r="N70" s="124"/>
      <c r="O70" s="124"/>
      <c r="P70" s="124"/>
      <c r="Q70" s="124"/>
      <c r="R70" s="71"/>
    </row>
    <row r="71" spans="3:20" ht="14.25">
      <c r="C71" s="63" t="s">
        <v>308</v>
      </c>
      <c r="D71" s="124"/>
      <c r="E71" s="116">
        <f>CHOOSE($B$196,East!E4,London!E4,'North West'!E4,'West Midlands'!E4,Northern!E4,Scotland!E4,Southern!E4,'Wales &amp; West'!E4)</f>
        <v>233.398542973836</v>
      </c>
      <c r="F71" s="116">
        <f>CHOOSE($B$196,East!F4,London!F4,'North West'!F4,'West Midlands'!F4,Northern!F4,Scotland!F4,Southern!F4,'Wales &amp; West'!F4)</f>
        <v>229.82734035094035</v>
      </c>
      <c r="G71" s="117"/>
      <c r="H71" s="417"/>
      <c r="I71" s="417"/>
      <c r="J71" s="417"/>
      <c r="K71" s="417"/>
      <c r="L71" s="417"/>
      <c r="M71" s="124"/>
      <c r="N71" s="124"/>
      <c r="O71" s="124"/>
      <c r="P71" s="124"/>
      <c r="Q71" s="124"/>
      <c r="R71" s="124"/>
      <c r="S71" s="124"/>
      <c r="T71" s="124"/>
    </row>
    <row r="72" spans="2:20" ht="14.25">
      <c r="B72" s="216"/>
      <c r="C72" s="77" t="s">
        <v>298</v>
      </c>
      <c r="D72" s="124"/>
      <c r="E72" s="118">
        <f>+E75-E73-E74</f>
        <v>-77.078396070332</v>
      </c>
      <c r="F72" s="118">
        <f>+F75-F73-F74</f>
        <v>-74.4037028624142</v>
      </c>
      <c r="G72" s="117">
        <f>+G75-G74-G73</f>
        <v>-72.09636334041986</v>
      </c>
      <c r="H72" s="117"/>
      <c r="I72" s="117"/>
      <c r="J72" s="117"/>
      <c r="K72" s="117"/>
      <c r="L72" s="117"/>
      <c r="M72" s="124"/>
      <c r="N72" s="124"/>
      <c r="O72" s="124"/>
      <c r="P72" s="124"/>
      <c r="Q72" s="124"/>
      <c r="R72" s="124"/>
      <c r="S72" s="124"/>
      <c r="T72" s="124"/>
    </row>
    <row r="73" spans="2:20" ht="14.25">
      <c r="B73" s="216"/>
      <c r="C73" s="77" t="s">
        <v>598</v>
      </c>
      <c r="D73" s="124"/>
      <c r="E73" s="116">
        <f>-CHOOSE($B$196,East!E54,London!E54,'North West'!E54,'West Midlands'!E54,Northern!E54,Scotland!E54,Southern!E54,'Wales &amp; West'!E54)</f>
        <v>-4.088224365243601</v>
      </c>
      <c r="F73" s="116">
        <f>-CHOOSE($B$196,East!F54,London!F54,'North West'!F54,'West Midlands'!F54,Northern!F54,Scotland!F54,Southern!F54,'Wales &amp; West'!F54)</f>
        <v>-3.865416360808537</v>
      </c>
      <c r="G73" s="117">
        <f>G98</f>
        <v>-11.86045240855998</v>
      </c>
      <c r="H73" s="119">
        <f>-CHOOSE($B$196,East!H46,London!H46,'North West'!H46,'West Midlands'!H46,Northern!H46,Scotland!H46,Southern!H46,'Wales &amp; West'!H46)</f>
        <v>-11.86045240855998</v>
      </c>
      <c r="I73" s="119">
        <f>-CHOOSE($B$196,East!I46,London!I46,'North West'!I46,'West Midlands'!I46,Northern!I46,Scotland!I46,Southern!I46,'Wales &amp; West'!I46)</f>
        <v>-11.86045240855998</v>
      </c>
      <c r="J73" s="119">
        <f>-CHOOSE($B$196,East!J46,London!J46,'North West'!J46,'West Midlands'!J46,Northern!J46,Scotland!J46,Southern!J46,'Wales &amp; West'!J46)</f>
        <v>-11.86045240855998</v>
      </c>
      <c r="K73" s="119">
        <f>-CHOOSE($B$196,East!K46,London!K46,'North West'!K46,'West Midlands'!K46,Northern!K46,Scotland!K46,Southern!K46,'Wales &amp; West'!K46)</f>
        <v>-11.86045240855998</v>
      </c>
      <c r="L73" s="119">
        <f>-CHOOSE($B$196,East!L46,London!L46,'North West'!L46,'West Midlands'!L46,Northern!L46,Scotland!L46,Southern!L46,'Wales &amp; West'!L46)</f>
        <v>-11.86045240855998</v>
      </c>
      <c r="M73" s="124"/>
      <c r="N73" s="124"/>
      <c r="O73" s="124"/>
      <c r="P73" s="124"/>
      <c r="Q73" s="124"/>
      <c r="R73" s="124"/>
      <c r="S73" s="124"/>
      <c r="T73" s="124"/>
    </row>
    <row r="74" spans="2:20" ht="14.25">
      <c r="B74" s="216"/>
      <c r="C74" s="77" t="s">
        <v>669</v>
      </c>
      <c r="D74" s="124"/>
      <c r="E74" s="116">
        <f>-E132</f>
        <v>-2.8922735504984387</v>
      </c>
      <c r="F74" s="116">
        <f>-F132</f>
        <v>-2.8186378587338825</v>
      </c>
      <c r="G74" s="116">
        <f>-G132</f>
        <v>-10.55582797321977</v>
      </c>
      <c r="H74" s="119"/>
      <c r="I74" s="119"/>
      <c r="J74" s="119"/>
      <c r="K74" s="119"/>
      <c r="L74" s="119"/>
      <c r="M74" s="124"/>
      <c r="N74" s="124"/>
      <c r="O74" s="124"/>
      <c r="P74" s="124"/>
      <c r="Q74" s="124"/>
      <c r="R74" s="124"/>
      <c r="S74" s="124"/>
      <c r="T74" s="124"/>
    </row>
    <row r="75" spans="3:20" ht="14.25">
      <c r="C75" s="63" t="s">
        <v>307</v>
      </c>
      <c r="D75" s="124"/>
      <c r="E75" s="116">
        <f>CHOOSE($B$196,East!E10,London!E10,'North West'!E10,'West Midlands'!E10,Northern!E10,Scotland!E10,Southern!E10,'Wales &amp; West'!E10)</f>
        <v>-84.05889398607405</v>
      </c>
      <c r="F75" s="116">
        <f>CHOOSE($B$196,East!F10,London!F10,'North West'!F10,'West Midlands'!F10,Northern!F10,Scotland!F10,Southern!F10,'Wales &amp; West'!F10)</f>
        <v>-81.08775708195662</v>
      </c>
      <c r="G75" s="116">
        <f>CHOOSE($B$196,East!G186,London!G186,'North West'!G186,'West Midlands'!G186,Northern!G186,Scotland!G186,Southern!G186,'Wales &amp; West'!G186)</f>
        <v>-94.51264372219961</v>
      </c>
      <c r="H75" s="119">
        <f>CHOOSE($B$196,East!H37,London!H37,'North West'!H37,'West Midlands'!H37,Northern!H37,Scotland!H37,Southern!H37,'Wales &amp; West'!H37)+H74</f>
        <v>-90.0033226432581</v>
      </c>
      <c r="I75" s="119">
        <f>CHOOSE($B$196,East!I37,London!I37,'North West'!I37,'West Midlands'!I37,Northern!I37,Scotland!I37,Southern!I37,'Wales &amp; West'!I37)+I74</f>
        <v>-90.0934948758302</v>
      </c>
      <c r="J75" s="119">
        <f>CHOOSE($B$196,East!J37,London!J37,'North West'!J37,'West Midlands'!J37,Northern!J37,Scotland!J37,Southern!J37,'Wales &amp; West'!J37)+J74</f>
        <v>-87.85254646755291</v>
      </c>
      <c r="K75" s="119">
        <f>CHOOSE($B$196,East!K37,London!K37,'North West'!K37,'West Midlands'!K37,Northern!K37,Scotland!K37,Southern!K37,'Wales &amp; West'!K37)+K74</f>
        <v>-86.21328338239668</v>
      </c>
      <c r="L75" s="119">
        <f>CHOOSE($B$196,East!L37,London!L37,'North West'!L37,'West Midlands'!L37,Northern!L37,Scotland!L37,Southern!L37,'Wales &amp; West'!L37)+L74</f>
        <v>-84.49360514135667</v>
      </c>
      <c r="M75" s="124"/>
      <c r="N75" s="124"/>
      <c r="O75" s="124"/>
      <c r="P75" s="124"/>
      <c r="Q75" s="124"/>
      <c r="R75" s="124"/>
      <c r="S75" s="124"/>
      <c r="T75" s="124"/>
    </row>
    <row r="76" spans="3:20" ht="14.25">
      <c r="C76" s="77" t="s">
        <v>455</v>
      </c>
      <c r="D76" s="124"/>
      <c r="E76" s="116">
        <f>CHOOSE($B$196,East!E7,London!E7,'North West'!E7,'West Midlands'!E7,Northern!E7,Scotland!E7,Southern!E7,'Wales &amp; West'!E7)</f>
        <v>0.8220383360458196</v>
      </c>
      <c r="F76" s="116">
        <f>CHOOSE($B$196,East!F7,London!F7,'North West'!F7,'West Midlands'!F7,Northern!F7,Scotland!F7,Southern!F7,'Wales &amp; West'!F7)</f>
        <v>0.8074705836735776</v>
      </c>
      <c r="G76" s="117"/>
      <c r="H76" s="117"/>
      <c r="I76" s="117"/>
      <c r="J76" s="117"/>
      <c r="K76" s="117"/>
      <c r="L76" s="117"/>
      <c r="M76" s="124"/>
      <c r="N76" s="124"/>
      <c r="O76" s="124"/>
      <c r="P76" s="124"/>
      <c r="Q76" s="124"/>
      <c r="R76" s="124"/>
      <c r="S76" s="124"/>
      <c r="T76" s="124"/>
    </row>
    <row r="77" spans="3:20" ht="14.25">
      <c r="C77" s="77" t="s">
        <v>447</v>
      </c>
      <c r="D77" s="124"/>
      <c r="E77" s="116">
        <f>-CHOOSE($B$196,East!E27,London!E27,'North West'!E27,'West Midlands'!E27,Northern!E27,Scotland!E27,Southern!E27,'Wales &amp; West'!E27)</f>
        <v>-30.657174459441052</v>
      </c>
      <c r="F77" s="116">
        <f>-CHOOSE($B$196,East!F27,London!F27,'North West'!F27,'West Midlands'!F27,Northern!F27,Scotland!F27,Southern!F27,'Wales &amp; West'!F27)</f>
        <v>-28.84671199656361</v>
      </c>
      <c r="G77" s="120">
        <f>-CHOOSE($B$196,East!G176,London!G176,'North West'!G176,'West Midlands'!G176,Northern!G176,Scotland!G176,Southern!G176,'Wales &amp; West'!G176)</f>
        <v>-32.01785917987939</v>
      </c>
      <c r="H77" s="119">
        <f>-CHOOSE($B$196,East!H39,London!H39,'North West'!H39,'West Midlands'!H39,Northern!H39,Scotland!H39,Southern!H39,'Wales &amp; West'!H39)</f>
        <v>-36.00566922282985</v>
      </c>
      <c r="I77" s="119">
        <f>-CHOOSE($B$196,East!I39,London!I39,'North West'!I39,'West Midlands'!I39,Northern!I39,Scotland!I39,Southern!I39,'Wales &amp; West'!I39)</f>
        <v>-36.801635048844766</v>
      </c>
      <c r="J77" s="119">
        <f>-CHOOSE($B$196,East!J39,London!J39,'North West'!J39,'West Midlands'!J39,Northern!J39,Scotland!J39,Southern!J39,'Wales &amp; West'!J39)</f>
        <v>-38.326392404098065</v>
      </c>
      <c r="K77" s="119">
        <f>-CHOOSE($B$196,East!K39,London!K39,'North West'!K39,'West Midlands'!K39,Northern!K39,Scotland!K39,Southern!K39,'Wales &amp; West'!K39)</f>
        <v>-39.47537850677135</v>
      </c>
      <c r="L77" s="119">
        <f>-CHOOSE($B$196,East!L39,London!L39,'North West'!L39,'West Midlands'!L39,Northern!L39,Scotland!L39,Southern!L39,'Wales &amp; West'!L39)</f>
        <v>-39.675794529111954</v>
      </c>
      <c r="M77" s="124"/>
      <c r="N77" s="124"/>
      <c r="O77" s="124"/>
      <c r="P77" s="124"/>
      <c r="Q77" s="124"/>
      <c r="R77" s="124"/>
      <c r="S77" s="124"/>
      <c r="T77" s="124"/>
    </row>
    <row r="78" spans="3:20" ht="14.25">
      <c r="C78" s="77" t="s">
        <v>448</v>
      </c>
      <c r="D78" s="124"/>
      <c r="E78" s="116">
        <f>-CHOOSE($B$196,East!E29,London!E29,'North West'!E29,'West Midlands'!E29,Northern!E29,Scotland!E29,Southern!E29,'Wales &amp; West'!E29)</f>
        <v>-11.074276678253508</v>
      </c>
      <c r="F78" s="116">
        <f>-CHOOSE($B$196,East!F29,London!F29,'North West'!F29,'West Midlands'!F29,Northern!F29,Scotland!F29,Southern!F29,'Wales &amp; West'!F29)</f>
        <v>-9.368536763686148</v>
      </c>
      <c r="G78" s="120">
        <f>-CHOOSE($B$196,East!G173,London!G173,'North West'!G173,'West Midlands'!G173,Northern!G173,Scotland!G173,Southern!G173,'Wales &amp; West'!G173)</f>
        <v>-21.92303386963421</v>
      </c>
      <c r="H78" s="119">
        <f>-CHOOSE($B$196,East!H40,London!H40,'North West'!H40,'West Midlands'!H40,Northern!H40,Scotland!H40,Southern!H40,'Wales &amp; West'!H40)</f>
        <v>-27.242206372841643</v>
      </c>
      <c r="I78" s="119">
        <f>-CHOOSE($B$196,East!I40,London!I40,'North West'!I40,'West Midlands'!I40,Northern!I40,Scotland!I40,Southern!I40,'Wales &amp; West'!I40)</f>
        <v>-36.49195086904546</v>
      </c>
      <c r="J78" s="119">
        <f>-CHOOSE($B$196,East!J40,London!J40,'North West'!J40,'West Midlands'!J40,Northern!J40,Scotland!J40,Southern!J40,'Wales &amp; West'!J40)</f>
        <v>-30.9834569044624</v>
      </c>
      <c r="K78" s="119">
        <f>-CHOOSE($B$196,East!K40,London!K40,'North West'!K40,'West Midlands'!K40,Northern!K40,Scotland!K40,Southern!K40,'Wales &amp; West'!K40)</f>
        <v>-29.963451774764728</v>
      </c>
      <c r="L78" s="119">
        <f>-CHOOSE($B$196,East!L40,London!L40,'North West'!L40,'West Midlands'!L40,Northern!L40,Scotland!L40,Southern!L40,'Wales &amp; West'!L40)</f>
        <v>-28.310823092228055</v>
      </c>
      <c r="M78" s="124"/>
      <c r="N78" s="124"/>
      <c r="O78" s="124"/>
      <c r="P78" s="124"/>
      <c r="Q78" s="124"/>
      <c r="R78" s="124"/>
      <c r="S78" s="124"/>
      <c r="T78" s="124"/>
    </row>
    <row r="79" spans="3:20" ht="14.25">
      <c r="C79" s="77" t="s">
        <v>449</v>
      </c>
      <c r="D79" s="124"/>
      <c r="E79" s="116"/>
      <c r="F79" s="116"/>
      <c r="G79" s="120"/>
      <c r="H79" s="119">
        <f>H77+H78</f>
        <v>-63.247875595671495</v>
      </c>
      <c r="I79" s="119">
        <f>I77+I78</f>
        <v>-73.29358591789023</v>
      </c>
      <c r="J79" s="119">
        <f>J77+J78</f>
        <v>-69.30984930856047</v>
      </c>
      <c r="K79" s="119">
        <f>K77+K78</f>
        <v>-69.43883028153607</v>
      </c>
      <c r="L79" s="119">
        <f>L77+L78</f>
        <v>-67.98661762134</v>
      </c>
      <c r="M79" s="124"/>
      <c r="N79" s="124"/>
      <c r="O79" s="124"/>
      <c r="P79" s="124"/>
      <c r="Q79" s="124"/>
      <c r="R79" s="124"/>
      <c r="S79" s="124"/>
      <c r="T79" s="124"/>
    </row>
    <row r="80" spans="3:20" ht="14.25">
      <c r="C80" s="63" t="s">
        <v>105</v>
      </c>
      <c r="D80" s="124"/>
      <c r="E80" s="116">
        <f>CHOOSE($B$196,East!E12,London!E12,'North West'!E12,'West Midlands'!E12,Northern!E12,Scotland!E12,Southern!E12,'Wales &amp; West'!E12)</f>
        <v>-20.86590565537531</v>
      </c>
      <c r="F80" s="116">
        <f>CHOOSE($B$196,East!F12,London!F12,'North West'!F12,'West Midlands'!F12,Northern!F12,Scotland!F12,Southern!F12,'Wales &amp; West'!F12)</f>
        <v>-19.10778929294913</v>
      </c>
      <c r="G80" s="118">
        <f>+G77*G67+G78*G67</f>
        <v>-26.9704465247568</v>
      </c>
      <c r="H80" s="119">
        <f>-(('IQI calculation'!H38+H220)*H$67)</f>
        <v>-33.105207414922084</v>
      </c>
      <c r="I80" s="119">
        <f>-(('IQI calculation'!I38+I220)*I$67)</f>
        <v>-38.36514819531459</v>
      </c>
      <c r="J80" s="119">
        <f>-(('IQI calculation'!J38+J220)*J$67)</f>
        <v>-36.27833119972033</v>
      </c>
      <c r="K80" s="119">
        <f>-(('IQI calculation'!K38+K220)*K$67)</f>
        <v>-36.345170062761454</v>
      </c>
      <c r="L80" s="119">
        <f>-(('IQI calculation'!L38+L220)*L$67)</f>
        <v>-35.58395843109835</v>
      </c>
      <c r="M80" s="124"/>
      <c r="N80" s="124"/>
      <c r="O80" s="124"/>
      <c r="P80" s="124"/>
      <c r="Q80" s="124"/>
      <c r="R80" s="124"/>
      <c r="S80" s="124"/>
      <c r="T80" s="124"/>
    </row>
    <row r="81" spans="3:20" ht="14.25">
      <c r="C81" s="77" t="s">
        <v>106</v>
      </c>
      <c r="D81" s="124"/>
      <c r="E81" s="116">
        <f>E80</f>
        <v>-20.86590565537531</v>
      </c>
      <c r="F81" s="116">
        <f>F80</f>
        <v>-19.10778929294913</v>
      </c>
      <c r="G81" s="118">
        <f>G77*(1-G67)+G78*(1-G67)</f>
        <v>-26.9704465247568</v>
      </c>
      <c r="H81" s="119">
        <f>-(('IQI calculation'!H38+H220)*(1-H$67))</f>
        <v>-33.105207414922084</v>
      </c>
      <c r="I81" s="119">
        <f>-(('IQI calculation'!I38+I220)*(1-I$67))</f>
        <v>-38.36514819531459</v>
      </c>
      <c r="J81" s="119">
        <f>-(('IQI calculation'!J38+J220)*(1-J$67))</f>
        <v>-36.27833119972033</v>
      </c>
      <c r="K81" s="119">
        <f>-(('IQI calculation'!K38+K220)*(1-K$67))</f>
        <v>-36.345170062761454</v>
      </c>
      <c r="L81" s="119">
        <f>-(('IQI calculation'!L38+L220)*(1-L$67))</f>
        <v>-35.58395843109835</v>
      </c>
      <c r="M81" s="124"/>
      <c r="N81" s="124"/>
      <c r="O81" s="124"/>
      <c r="P81" s="124"/>
      <c r="Q81" s="124"/>
      <c r="R81" s="124"/>
      <c r="S81" s="124"/>
      <c r="T81" s="124"/>
    </row>
    <row r="82" spans="3:20" ht="14.25">
      <c r="C82" s="63" t="s">
        <v>67</v>
      </c>
      <c r="D82" s="124"/>
      <c r="E82" s="116">
        <f>CHOOSE($B$196,East!E11,London!E11,'North West'!E11,'West Midlands'!E11,Northern!E11,Scotland!E11,Southern!E11,'Wales &amp; West'!E11)</f>
        <v>-19.931773206407627</v>
      </c>
      <c r="F82" s="116">
        <f>CHOOSE($B$196,East!F11,London!F11,'North West'!F11,'West Midlands'!F11,Northern!F11,Scotland!F11,Southern!F11,'Wales &amp; West'!F11)</f>
        <v>-21.069998931512178</v>
      </c>
      <c r="G82" s="118">
        <f>+G102</f>
        <v>-22.265170731707315</v>
      </c>
      <c r="H82" s="119">
        <f>G82</f>
        <v>-22.265170731707315</v>
      </c>
      <c r="I82" s="119">
        <f>H82</f>
        <v>-22.265170731707315</v>
      </c>
      <c r="J82" s="119">
        <f>I82</f>
        <v>-22.265170731707315</v>
      </c>
      <c r="K82" s="119">
        <f>J82</f>
        <v>-22.265170731707315</v>
      </c>
      <c r="L82" s="119">
        <f>K82</f>
        <v>-22.265170731707315</v>
      </c>
      <c r="M82" s="124"/>
      <c r="N82" s="124"/>
      <c r="O82" s="124"/>
      <c r="P82" s="124"/>
      <c r="Q82" s="124"/>
      <c r="R82" s="124"/>
      <c r="S82" s="124"/>
      <c r="T82" s="124"/>
    </row>
    <row r="83" spans="3:20" ht="14.25">
      <c r="C83" s="121" t="s">
        <v>351</v>
      </c>
      <c r="D83" s="124"/>
      <c r="E83" s="117"/>
      <c r="F83" s="117"/>
      <c r="G83" s="116">
        <f>CHOOSE($B$196,East!G25,London!G25,'North West'!G25,'West Midlands'!G25,Northern!G25,Scotland!G25,Southern!G25,'Wales &amp; West'!G25)</f>
        <v>252</v>
      </c>
      <c r="H83" s="117"/>
      <c r="I83" s="117"/>
      <c r="J83" s="117"/>
      <c r="K83" s="117"/>
      <c r="L83" s="117"/>
      <c r="M83" s="124"/>
      <c r="N83" s="124"/>
      <c r="O83" s="124"/>
      <c r="P83" s="124"/>
      <c r="Q83" s="124"/>
      <c r="R83" s="124"/>
      <c r="S83" s="124"/>
      <c r="T83" s="124"/>
    </row>
    <row r="84" spans="3:20" s="71" customFormat="1" ht="14.25">
      <c r="C84" s="122"/>
      <c r="D84" s="124"/>
      <c r="E84" s="124"/>
      <c r="F84" s="124"/>
      <c r="G84" s="124"/>
      <c r="H84" s="124"/>
      <c r="I84" s="124"/>
      <c r="J84" s="124"/>
      <c r="K84" s="124"/>
      <c r="L84" s="124"/>
      <c r="M84" s="124"/>
      <c r="N84" s="124"/>
      <c r="O84" s="124"/>
      <c r="P84" s="124"/>
      <c r="Q84" s="124"/>
      <c r="R84" s="124"/>
      <c r="S84" s="124"/>
      <c r="T84" s="124"/>
    </row>
    <row r="85" spans="3:20" ht="14.25">
      <c r="C85" s="63" t="s">
        <v>160</v>
      </c>
      <c r="D85" s="124"/>
      <c r="E85" s="116">
        <f>-CHOOSE($B$196,East!E50,London!E50,'North West'!E50,'West Midlands'!E50,Northern!E50,Scotland!E50,Southern!E50,'Wales &amp; West'!E50)</f>
        <v>-11.893</v>
      </c>
      <c r="F85" s="116">
        <f>-CHOOSE($B$196,East!F50,London!F50,'North West'!F50,'West Midlands'!F50,Northern!F50,Scotland!F50,Southern!F50,'Wales &amp; West'!F50)</f>
        <v>-9.020367864183251</v>
      </c>
      <c r="G85" s="116">
        <f>-CHOOSE($B$196,East!G50,London!G50,'North West'!G50,'West Midlands'!G50,Northern!G50,Scotland!G50,Southern!G50,'Wales &amp; West'!G50)</f>
        <v>-6.6611850200102385</v>
      </c>
      <c r="H85" s="119">
        <f>-CHOOSE($B$196,East!H50,London!H50,'North West'!H50,'West Midlands'!H50,Northern!H50,Scotland!H50,Southern!H50,'Wales &amp; West'!H50)</f>
        <v>-6.766510133310931</v>
      </c>
      <c r="I85" s="119">
        <f>-CHOOSE($B$196,East!I50,London!I50,'North West'!I50,'West Midlands'!I50,Northern!I50,Scotland!I50,Southern!I50,'Wales &amp; West'!I50)</f>
        <v>-6.873855773085443</v>
      </c>
      <c r="J85" s="119">
        <f>-CHOOSE($B$196,East!J50,London!J50,'North West'!J50,'West Midlands'!J50,Northern!J50,Scotland!J50,Southern!J50,'Wales &amp; West'!J50)</f>
        <v>-6.983261490105327</v>
      </c>
      <c r="K85" s="119">
        <f>-CHOOSE($B$196,East!K50,London!K50,'North West'!K50,'West Midlands'!K50,Northern!K50,Scotland!K50,Southern!K50,'Wales &amp; West'!K50)</f>
        <v>-7.094767617559991</v>
      </c>
      <c r="L85" s="119">
        <f>-CHOOSE($B$196,East!L50,London!L50,'North West'!L50,'West Midlands'!L50,Northern!L50,Scotland!L50,Southern!L50,'Wales &amp; West'!L50)</f>
        <v>-7.208415286619075</v>
      </c>
      <c r="M85" s="124"/>
      <c r="N85" s="124"/>
      <c r="O85" s="124"/>
      <c r="P85" s="124"/>
      <c r="Q85" s="124"/>
      <c r="R85" s="124"/>
      <c r="S85" s="124"/>
      <c r="T85" s="124"/>
    </row>
    <row r="86" spans="3:20" ht="14.25">
      <c r="C86" s="121"/>
      <c r="D86" s="124"/>
      <c r="E86" s="117"/>
      <c r="F86" s="117"/>
      <c r="G86" s="117"/>
      <c r="H86" s="117"/>
      <c r="I86" s="117"/>
      <c r="J86" s="117"/>
      <c r="K86" s="117"/>
      <c r="L86" s="117"/>
      <c r="M86" s="124"/>
      <c r="N86" s="124"/>
      <c r="O86" s="124"/>
      <c r="P86" s="124"/>
      <c r="Q86" s="124"/>
      <c r="R86" s="124"/>
      <c r="S86" s="124"/>
      <c r="T86" s="124"/>
    </row>
    <row r="87" spans="3:20" ht="14.25">
      <c r="C87" s="122" t="s">
        <v>445</v>
      </c>
      <c r="D87" s="124"/>
      <c r="E87" s="117"/>
      <c r="F87" s="117"/>
      <c r="G87" s="117"/>
      <c r="H87" s="117"/>
      <c r="I87" s="117"/>
      <c r="J87" s="117"/>
      <c r="K87" s="117"/>
      <c r="L87" s="117"/>
      <c r="M87" s="124"/>
      <c r="N87" s="124"/>
      <c r="O87" s="124"/>
      <c r="P87" s="124"/>
      <c r="Q87" s="124"/>
      <c r="R87" s="124"/>
      <c r="S87" s="124"/>
      <c r="T87" s="124"/>
    </row>
    <row r="88" spans="3:20" ht="14.25">
      <c r="C88" s="121" t="s">
        <v>392</v>
      </c>
      <c r="D88" s="124"/>
      <c r="E88" s="117"/>
      <c r="F88" s="117"/>
      <c r="G88" s="117"/>
      <c r="H88" s="119">
        <f>-CHOOSE($B$196,East!H42,London!H42,'North West'!H42,'West Midlands'!H42,Northern!H42,Scotland!H42,Southern!H42,'Wales &amp; West'!H42)</f>
        <v>-67.6240773</v>
      </c>
      <c r="I88" s="119">
        <f>-CHOOSE($B$196,East!I42,London!I42,'North West'!I42,'West Midlands'!I42,Northern!I42,Scotland!I42,Southern!I42,'Wales &amp; West'!I42)</f>
        <v>-81.344241524</v>
      </c>
      <c r="J88" s="119">
        <f>-CHOOSE($B$196,East!J42,London!J42,'North West'!J42,'West Midlands'!J42,Northern!J42,Scotland!J42,Southern!J42,'Wales &amp; West'!J42)</f>
        <v>-80.516871676</v>
      </c>
      <c r="K88" s="119">
        <f>-CHOOSE($B$196,East!K42,London!K42,'North West'!K42,'West Midlands'!K42,Northern!K42,Scotland!K42,Southern!K42,'Wales &amp; West'!K42)</f>
        <v>-84.169748332</v>
      </c>
      <c r="L88" s="119">
        <f>-CHOOSE($B$196,East!L42,London!L42,'North West'!L42,'West Midlands'!L42,Northern!L42,Scotland!L42,Southern!L42,'Wales &amp; West'!L42)</f>
        <v>-84.91346266399998</v>
      </c>
      <c r="M88" s="124"/>
      <c r="N88" s="124"/>
      <c r="O88" s="124"/>
      <c r="P88" s="124"/>
      <c r="Q88" s="124"/>
      <c r="R88" s="124"/>
      <c r="S88" s="124"/>
      <c r="T88" s="124"/>
    </row>
    <row r="89" spans="3:20" ht="14.25">
      <c r="C89" s="121" t="s">
        <v>446</v>
      </c>
      <c r="D89" s="124"/>
      <c r="E89" s="117"/>
      <c r="F89" s="117"/>
      <c r="G89" s="117"/>
      <c r="H89" s="119">
        <f>CHOOSE($B$196,East!H43,London!H43,'North West'!H43,'West Midlands'!H43,Northern!H43,Scotland!H43,Southern!H43,'Wales &amp; West'!H43)</f>
        <v>45.40318285288761</v>
      </c>
      <c r="I89" s="119">
        <f>CHOOSE($B$196,East!I43,London!I43,'North West'!I43,'West Midlands'!I43,Northern!I43,Scotland!I43,Southern!I43,'Wales &amp; West'!I43)</f>
        <v>43.178874103212586</v>
      </c>
      <c r="J89" s="119">
        <f>CHOOSE($B$196,East!J43,London!J43,'North West'!J43,'West Midlands'!J43,Northern!J43,Scotland!J43,Southern!J43,'Wales &amp; West'!J43)</f>
        <v>36.288657952487284</v>
      </c>
      <c r="K89" s="119">
        <f>CHOOSE($B$196,East!K43,London!K43,'North West'!K43,'West Midlands'!K43,Northern!K43,Scotland!K43,Southern!K43,'Wales &amp; West'!K43)</f>
        <v>38.42239372344753</v>
      </c>
      <c r="L89" s="119">
        <f>CHOOSE($B$196,East!L43,London!L43,'North West'!L43,'West Midlands'!L43,Northern!L43,Scotland!L43,Southern!L43,'Wales &amp; West'!L43)</f>
        <v>40.33530185302084</v>
      </c>
      <c r="M89" s="124"/>
      <c r="N89" s="124"/>
      <c r="O89" s="124"/>
      <c r="P89" s="124"/>
      <c r="Q89" s="124"/>
      <c r="R89" s="124"/>
      <c r="S89" s="124"/>
      <c r="T89" s="124"/>
    </row>
    <row r="90" spans="3:20" ht="14.25">
      <c r="C90" s="121" t="s">
        <v>393</v>
      </c>
      <c r="D90" s="124"/>
      <c r="E90" s="117"/>
      <c r="F90" s="117"/>
      <c r="G90" s="117"/>
      <c r="H90" s="119">
        <f>H88-H89</f>
        <v>-113.0272601528876</v>
      </c>
      <c r="I90" s="119">
        <f>I88-I89</f>
        <v>-124.52311562721258</v>
      </c>
      <c r="J90" s="119">
        <f>J88-J89</f>
        <v>-116.80552962848728</v>
      </c>
      <c r="K90" s="119">
        <f>K88-K89</f>
        <v>-122.59214205544752</v>
      </c>
      <c r="L90" s="119">
        <f>L88-L89</f>
        <v>-125.24876451702082</v>
      </c>
      <c r="M90" s="124"/>
      <c r="N90" s="124"/>
      <c r="O90" s="124"/>
      <c r="P90" s="124"/>
      <c r="Q90" s="124"/>
      <c r="R90" s="124"/>
      <c r="S90" s="124"/>
      <c r="T90" s="124"/>
    </row>
    <row r="91" spans="3:20" ht="14.25">
      <c r="C91" s="121" t="s">
        <v>394</v>
      </c>
      <c r="D91" s="124"/>
      <c r="E91" s="117"/>
      <c r="F91" s="117"/>
      <c r="G91" s="117"/>
      <c r="H91" s="119">
        <f>-CHOOSE($B$196,East!H41,London!H41,'North West'!H41,'West Midlands'!H41,Northern!H41,Scotland!H41,Southern!H41,'Wales &amp; West'!H41)</f>
        <v>-99.36922872025556</v>
      </c>
      <c r="I91" s="119">
        <f>-CHOOSE($B$196,East!I41,London!I41,'North West'!I41,'West Midlands'!I41,Northern!I41,Scotland!I41,Southern!I41,'Wales &amp; West'!I41)</f>
        <v>-105.73890697575735</v>
      </c>
      <c r="J91" s="119">
        <f>-CHOOSE($B$196,East!J41,London!J41,'North West'!J41,'West Midlands'!J41,Northern!J41,Scotland!J41,Southern!J41,'Wales &amp; West'!J41)</f>
        <v>-99.2418941751653</v>
      </c>
      <c r="K91" s="119">
        <f>-CHOOSE($B$196,East!K41,London!K41,'North West'!K41,'West Midlands'!K41,Northern!K41,Scotland!K41,Southern!K41,'Wales &amp; West'!K41)</f>
        <v>-101.32011665482578</v>
      </c>
      <c r="L91" s="119">
        <f>-CHOOSE($B$196,East!L41,London!L41,'North West'!L41,'West Midlands'!L41,Northern!L41,Scotland!L41,Southern!L41,'Wales &amp; West'!L41)</f>
        <v>-100.66433607005182</v>
      </c>
      <c r="M91" s="124"/>
      <c r="N91" s="124"/>
      <c r="O91" s="124"/>
      <c r="P91" s="124"/>
      <c r="Q91" s="124"/>
      <c r="R91" s="124"/>
      <c r="S91" s="124"/>
      <c r="T91" s="124"/>
    </row>
    <row r="92" spans="3:20" ht="14.25">
      <c r="C92" s="121"/>
      <c r="D92" s="124"/>
      <c r="E92" s="117"/>
      <c r="F92" s="117"/>
      <c r="G92" s="117"/>
      <c r="H92" s="117"/>
      <c r="I92" s="117"/>
      <c r="J92" s="117"/>
      <c r="K92" s="117"/>
      <c r="L92" s="117"/>
      <c r="M92" s="124"/>
      <c r="N92" s="124"/>
      <c r="O92" s="124"/>
      <c r="P92" s="124"/>
      <c r="Q92" s="124"/>
      <c r="R92" s="124"/>
      <c r="S92" s="124"/>
      <c r="T92" s="124"/>
    </row>
    <row r="93" spans="3:20" ht="14.25">
      <c r="C93" s="122" t="s">
        <v>225</v>
      </c>
      <c r="D93" s="124"/>
      <c r="E93" s="117"/>
      <c r="F93" s="117"/>
      <c r="G93" s="117"/>
      <c r="H93" s="117"/>
      <c r="I93" s="117"/>
      <c r="J93" s="117"/>
      <c r="K93" s="117"/>
      <c r="L93" s="117"/>
      <c r="M93" s="124"/>
      <c r="N93" s="124"/>
      <c r="O93" s="124"/>
      <c r="P93" s="124"/>
      <c r="Q93" s="124"/>
      <c r="R93" s="124"/>
      <c r="S93" s="124"/>
      <c r="T93" s="124"/>
    </row>
    <row r="94" spans="3:20" ht="14.25">
      <c r="C94" s="63" t="s">
        <v>785</v>
      </c>
      <c r="D94" s="124"/>
      <c r="E94" s="116">
        <f>CHOOSE($B$196,East!E18,London!E18,'North West'!E18,'West Midlands'!E18,Northern!E18,Scotland!E18,Southern!E18,'Wales &amp; West'!E18)</f>
        <v>231</v>
      </c>
      <c r="F94" s="116">
        <f>CHOOSE($B$196,East!F18,London!F18,'North West'!F18,'West Midlands'!F18,Northern!F18,Scotland!F18,Southern!F18,'Wales &amp; West'!F18)</f>
        <v>230.8</v>
      </c>
      <c r="G94" s="116">
        <f>CHOOSE($B$196,East!G18,London!G18,'North West'!G18,'West Midlands'!G18,Northern!G18,Scotland!G18,Southern!G18,'Wales &amp; West'!G18)</f>
        <v>239.1</v>
      </c>
      <c r="H94" s="117"/>
      <c r="I94" s="117"/>
      <c r="J94" s="117"/>
      <c r="K94" s="117"/>
      <c r="L94" s="117"/>
      <c r="M94" s="124"/>
      <c r="N94" s="124"/>
      <c r="O94" s="124"/>
      <c r="P94" s="124"/>
      <c r="Q94" s="124"/>
      <c r="R94" s="124"/>
      <c r="S94" s="124"/>
      <c r="T94" s="124"/>
    </row>
    <row r="95" spans="3:20" ht="14.25">
      <c r="C95" s="63" t="s">
        <v>297</v>
      </c>
      <c r="D95" s="124"/>
      <c r="E95" s="116">
        <f>CHOOSE($B$196,East!E19,London!E19,'North West'!E19,'West Midlands'!E19,Northern!E19,Scotland!E19,Southern!E19,'Wales &amp; West'!E19)-E97-E106</f>
        <v>-78.19999999999999</v>
      </c>
      <c r="F95" s="116">
        <f>CHOOSE($B$196,East!F19,London!F19,'North West'!F19,'West Midlands'!F19,Northern!F19,Scotland!F19,Southern!F19,'Wales &amp; West'!F19)-F97-F106</f>
        <v>-74.2</v>
      </c>
      <c r="G95" s="116">
        <f>CHOOSE($B$196,East!G19,London!G19,'North West'!G19,'West Midlands'!G19,Northern!G19,Scotland!G19,Southern!G19,'Wales &amp; West'!G19)-G97-G106</f>
        <v>-81</v>
      </c>
      <c r="H95" s="117"/>
      <c r="I95" s="117"/>
      <c r="J95" s="117"/>
      <c r="K95" s="117"/>
      <c r="L95" s="117"/>
      <c r="M95" s="124"/>
      <c r="N95" s="124"/>
      <c r="O95" s="124"/>
      <c r="P95" s="124"/>
      <c r="Q95" s="124"/>
      <c r="R95" s="124"/>
      <c r="S95" s="124"/>
      <c r="T95" s="124"/>
    </row>
    <row r="96" spans="3:20" ht="14.25">
      <c r="C96" s="63" t="s">
        <v>668</v>
      </c>
      <c r="D96" s="124"/>
      <c r="E96" s="116">
        <f>-E133</f>
        <v>-4.552446570407437</v>
      </c>
      <c r="F96" s="116">
        <f>-F133</f>
        <v>-3.583103396695516</v>
      </c>
      <c r="G96" s="116">
        <f>-G133</f>
        <v>-6.226948280859076</v>
      </c>
      <c r="H96" s="117"/>
      <c r="I96" s="117"/>
      <c r="J96" s="117"/>
      <c r="K96" s="117"/>
      <c r="L96" s="117"/>
      <c r="M96" s="124"/>
      <c r="N96" s="124"/>
      <c r="O96" s="124"/>
      <c r="P96" s="124"/>
      <c r="Q96" s="124"/>
      <c r="R96" s="124"/>
      <c r="S96" s="124"/>
      <c r="T96" s="124"/>
    </row>
    <row r="97" spans="3:20" ht="14.25">
      <c r="C97" s="63" t="s">
        <v>340</v>
      </c>
      <c r="D97" s="124"/>
      <c r="E97" s="116">
        <f>-CHOOSE($B$196,East!E55,London!E55,'North West'!E55,'West Midlands'!E55,Northern!E55,Scotland!E55,Southern!E55,'Wales &amp; West'!E55)</f>
        <v>-11.7</v>
      </c>
      <c r="F97" s="116">
        <f>-CHOOSE($B$196,East!F55,London!F55,'North West'!F55,'West Midlands'!F55,Northern!F55,Scotland!F55,Southern!F55,'Wales &amp; West'!F55)</f>
        <v>-11.3</v>
      </c>
      <c r="G97" s="116">
        <f>-CHOOSE($B$196,East!G55,London!G55,'North West'!G55,'West Midlands'!G55,Northern!G55,Scotland!G55,Southern!G55,'Wales &amp; West'!G55)</f>
        <v>-11.3</v>
      </c>
      <c r="H97" s="117"/>
      <c r="I97" s="117"/>
      <c r="J97" s="117"/>
      <c r="K97" s="117"/>
      <c r="L97" s="117"/>
      <c r="M97" s="124"/>
      <c r="N97" s="124"/>
      <c r="O97" s="124"/>
      <c r="P97" s="124"/>
      <c r="Q97" s="124"/>
      <c r="R97" s="124"/>
      <c r="S97" s="124"/>
      <c r="T97" s="124"/>
    </row>
    <row r="98" spans="3:20" ht="14.25">
      <c r="C98" s="63" t="s">
        <v>769</v>
      </c>
      <c r="D98" s="124"/>
      <c r="E98" s="116">
        <f>-CHOOSE($B$196,East!E56,London!E56,'North West'!E56,'West Midlands'!E56,Northern!E56,Scotland!E56,Southern!E56,'Wales &amp; West'!E56)</f>
        <v>-11.1</v>
      </c>
      <c r="F98" s="116">
        <f>-CHOOSE($B$196,East!F56,London!F56,'North West'!F56,'West Midlands'!F56,Northern!F56,Scotland!F56,Southern!F56,'Wales &amp; West'!F56)</f>
        <v>-11.86045240855998</v>
      </c>
      <c r="G98" s="116">
        <f>-CHOOSE($B$196,East!G56,London!G56,'North West'!G56,'West Midlands'!G56,Northern!G56,Scotland!G56,Southern!G56,'Wales &amp; West'!G56)</f>
        <v>-11.86045240855998</v>
      </c>
      <c r="H98" s="117"/>
      <c r="I98" s="117"/>
      <c r="J98" s="117"/>
      <c r="K98" s="117"/>
      <c r="L98" s="117"/>
      <c r="M98" s="124"/>
      <c r="N98" s="124"/>
      <c r="O98" s="124"/>
      <c r="P98" s="124"/>
      <c r="Q98" s="124"/>
      <c r="R98" s="124"/>
      <c r="S98" s="124"/>
      <c r="T98" s="124"/>
    </row>
    <row r="99" spans="3:20" ht="14.25">
      <c r="C99" s="63" t="s">
        <v>341</v>
      </c>
      <c r="D99" s="124"/>
      <c r="E99" s="120">
        <f>-CHOOSE($B$196,East!E32,London!E32,'North West'!E32,'West Midlands'!E32,Northern!E32,Scotland!E32,Southern!E32,'Wales &amp; West'!E32)</f>
        <v>-30.9</v>
      </c>
      <c r="F99" s="120">
        <f>-CHOOSE($B$196,East!F32,London!F32,'North West'!F32,'West Midlands'!F32,Northern!F32,Scotland!F32,Southern!F32,'Wales &amp; West'!F32)</f>
        <v>-30.53</v>
      </c>
      <c r="G99" s="116">
        <f>-CHOOSE($B$196,East!G28,London!G28,'North West'!G28,'West Midlands'!G28,Northern!G28,Scotland!G28,Southern!G28,'Wales &amp; West'!G28)</f>
        <v>-32.3</v>
      </c>
      <c r="H99" s="117"/>
      <c r="I99" s="117"/>
      <c r="J99" s="117"/>
      <c r="K99" s="117"/>
      <c r="L99" s="117"/>
      <c r="M99" s="124"/>
      <c r="N99" s="124"/>
      <c r="O99" s="124"/>
      <c r="P99" s="124"/>
      <c r="Q99" s="124"/>
      <c r="R99" s="124"/>
      <c r="S99" s="124"/>
      <c r="T99" s="124"/>
    </row>
    <row r="100" spans="3:20" ht="14.25">
      <c r="C100" s="63" t="s">
        <v>342</v>
      </c>
      <c r="D100" s="124"/>
      <c r="E100" s="120">
        <f>-CHOOSE($B$196,East!E33,London!E33,'North West'!E33,'West Midlands'!E33,Northern!E33,Scotland!E33,Southern!E33,'Wales &amp; West'!E33)</f>
        <v>-23.89</v>
      </c>
      <c r="F100" s="120">
        <f>-CHOOSE($B$196,East!F33,London!F33,'North West'!F33,'West Midlands'!F33,Northern!F33,Scotland!F33,Southern!F33,'Wales &amp; West'!F33)</f>
        <v>-23.5854210832985</v>
      </c>
      <c r="G100" s="116">
        <f>-CHOOSE($B$196,East!G30,London!G30,'North West'!G30,'West Midlands'!G30,Northern!G30,Scotland!G30,Southern!G30,'Wales &amp; West'!G30)</f>
        <v>-25.5</v>
      </c>
      <c r="H100" s="117"/>
      <c r="I100" s="117"/>
      <c r="J100" s="117"/>
      <c r="K100" s="117"/>
      <c r="L100" s="117"/>
      <c r="M100" s="124"/>
      <c r="N100" s="124"/>
      <c r="O100" s="124"/>
      <c r="P100" s="124"/>
      <c r="Q100" s="124"/>
      <c r="R100" s="124"/>
      <c r="S100" s="124"/>
      <c r="T100" s="124"/>
    </row>
    <row r="101" spans="3:20" ht="14.25">
      <c r="C101" s="63" t="s">
        <v>226</v>
      </c>
      <c r="D101" s="124"/>
      <c r="E101" s="116">
        <f>+E99/2+E100/2</f>
        <v>-27.395</v>
      </c>
      <c r="F101" s="116">
        <f>+F99/2+F100/2</f>
        <v>-27.05771054164925</v>
      </c>
      <c r="G101" s="116">
        <f>+G99/2+G100/2</f>
        <v>-28.9</v>
      </c>
      <c r="H101" s="117"/>
      <c r="I101" s="117"/>
      <c r="J101" s="117"/>
      <c r="K101" s="117"/>
      <c r="L101" s="117"/>
      <c r="M101" s="124"/>
      <c r="N101" s="124"/>
      <c r="O101" s="124"/>
      <c r="P101" s="124"/>
      <c r="Q101" s="124"/>
      <c r="R101" s="124"/>
      <c r="S101" s="124"/>
      <c r="T101" s="124"/>
    </row>
    <row r="102" spans="3:20" ht="14.25">
      <c r="C102" s="63" t="s">
        <v>67</v>
      </c>
      <c r="D102" s="124"/>
      <c r="E102" s="116">
        <f>CHOOSE($B$196,East!E20,London!E20,'North West'!E20,'West Midlands'!E20,Northern!E20,Scotland!E20,Southern!E20,'Wales &amp; West'!E20,)</f>
        <v>-20.7</v>
      </c>
      <c r="F102" s="116">
        <f>CHOOSE($B$196,East!F20,London!F20,'North West'!F20,'West Midlands'!F20,Northern!F20,Scotland!F20,Southern!F20,'Wales &amp; West'!F20,)</f>
        <v>-22.265170731707315</v>
      </c>
      <c r="G102" s="116">
        <f>CHOOSE($B$196,East!G20,London!G20,'North West'!G20,'West Midlands'!G20,Northern!G20,Scotland!G20,Southern!G20,'Wales &amp; West'!G20,)</f>
        <v>-22.265170731707315</v>
      </c>
      <c r="H102" s="117"/>
      <c r="I102" s="117"/>
      <c r="J102" s="117"/>
      <c r="K102" s="117"/>
      <c r="L102" s="117"/>
      <c r="M102" s="124"/>
      <c r="N102" s="124"/>
      <c r="O102" s="124"/>
      <c r="P102" s="124"/>
      <c r="Q102" s="124"/>
      <c r="R102" s="124"/>
      <c r="S102" s="124"/>
      <c r="T102" s="124"/>
    </row>
    <row r="103" spans="3:20" ht="14.25">
      <c r="C103" s="63" t="s">
        <v>755</v>
      </c>
      <c r="D103" s="124"/>
      <c r="E103" s="116">
        <f>CHOOSE($B$196,East!E21,London!E21,'North West'!E21,'West Midlands'!E21,Northern!E21,Scotland!E21,Southern!E21,'Wales &amp; West'!E21)</f>
        <v>0</v>
      </c>
      <c r="F103" s="116">
        <f>CHOOSE($B$196,East!F21,London!F21,'North West'!F21,'West Midlands'!F21,Northern!F21,Scotland!F21,Southern!F21,'Wales &amp; West'!F21)</f>
        <v>0</v>
      </c>
      <c r="G103" s="116">
        <f>CHOOSE($B$196,East!G21,London!G21,'North West'!G21,'West Midlands'!G21,Northern!G21,Scotland!G21,Southern!G21,'Wales &amp; West'!G21)</f>
        <v>0</v>
      </c>
      <c r="H103" s="117"/>
      <c r="I103" s="117"/>
      <c r="J103" s="117"/>
      <c r="K103" s="117"/>
      <c r="L103" s="117"/>
      <c r="M103" s="124"/>
      <c r="N103" s="124"/>
      <c r="O103" s="124"/>
      <c r="P103" s="124"/>
      <c r="Q103" s="124"/>
      <c r="R103" s="124"/>
      <c r="S103" s="124"/>
      <c r="T103" s="124"/>
    </row>
    <row r="104" spans="4:20" ht="14.25">
      <c r="D104" s="124"/>
      <c r="E104" s="116"/>
      <c r="F104" s="116"/>
      <c r="G104" s="116"/>
      <c r="H104" s="117"/>
      <c r="I104" s="117"/>
      <c r="J104" s="117"/>
      <c r="K104" s="117"/>
      <c r="L104" s="117"/>
      <c r="M104" s="124"/>
      <c r="N104" s="124"/>
      <c r="O104" s="124"/>
      <c r="P104" s="124"/>
      <c r="Q104" s="124"/>
      <c r="R104" s="124"/>
      <c r="S104" s="124"/>
      <c r="T104" s="124"/>
    </row>
    <row r="105" spans="3:20" ht="14.25">
      <c r="C105" s="63" t="s">
        <v>57</v>
      </c>
      <c r="D105" s="124"/>
      <c r="E105" s="116">
        <f>CHOOSE($B$196,East!E23,London!E23,'North West'!E23,'West Midlands'!E23,Northern!E23,Scotland!E23,Southern!E23,'Wales &amp; West'!E23)</f>
        <v>-38.3</v>
      </c>
      <c r="F105" s="116">
        <f>CHOOSE($B$196,East!F23,London!F23,'North West'!F23,'West Midlands'!F23,Northern!F23,Scotland!F23,Southern!F23,'Wales &amp; West'!F23)</f>
        <v>-45</v>
      </c>
      <c r="G105" s="116">
        <f>CHOOSE($B$196,East!G23,London!G23,'North West'!G23,'West Midlands'!G23,Northern!G23,Scotland!G23,Southern!G23,'Wales &amp; West'!G23)</f>
        <v>-46.1</v>
      </c>
      <c r="H105" s="119">
        <f>CHOOSE($B$196,East!H45,London!H45,'North West'!H45,'West Midlands'!H45,Northern!H45,Scotland!H45,Southern!H45,'Wales &amp; West'!H45)</f>
        <v>-53.7</v>
      </c>
      <c r="I105" s="119">
        <f>CHOOSE($B$196,East!I45,London!I45,'North West'!I45,'West Midlands'!I45,Northern!I45,Scotland!I45,Southern!I45,'Wales &amp; West'!I45)</f>
        <v>-53.7</v>
      </c>
      <c r="J105" s="119">
        <f>CHOOSE($B$196,East!J45,London!J45,'North West'!J45,'West Midlands'!J45,Northern!J45,Scotland!J45,Southern!J45,'Wales &amp; West'!J45)</f>
        <v>-53.7</v>
      </c>
      <c r="K105" s="119">
        <f>CHOOSE($B$196,East!K45,London!K45,'North West'!K45,'West Midlands'!K45,Northern!K45,Scotland!K45,Southern!K45,'Wales &amp; West'!K45)</f>
        <v>-53.7</v>
      </c>
      <c r="L105" s="119">
        <f>CHOOSE($B$196,East!L45,London!L45,'North West'!L45,'West Midlands'!L45,Northern!L45,Scotland!L45,Southern!L45,'Wales &amp; West'!L45)</f>
        <v>-53.7</v>
      </c>
      <c r="M105" s="124"/>
      <c r="N105" s="124"/>
      <c r="O105" s="124"/>
      <c r="P105" s="124"/>
      <c r="Q105" s="124"/>
      <c r="R105" s="124"/>
      <c r="S105" s="124"/>
      <c r="T105" s="124"/>
    </row>
    <row r="106" spans="3:20" ht="14.25">
      <c r="C106" s="121" t="s">
        <v>660</v>
      </c>
      <c r="D106" s="124"/>
      <c r="E106" s="116">
        <f>-CHOOSE($B$196,East!E63,London!E63,'North West'!E63,'West Midlands'!E63,Northern!E63,Scotland!E63,Southern!E63,'Wales &amp; West'!E63)</f>
        <v>-8.2</v>
      </c>
      <c r="F106" s="116">
        <f>-CHOOSE($B$196,East!F63,London!F63,'North West'!F63,'West Midlands'!F63,Northern!F63,Scotland!F63,Southern!F63,'Wales &amp; West'!F63)</f>
        <v>-8.9</v>
      </c>
      <c r="G106" s="116">
        <f>-CHOOSE($B$196,East!G63,London!G63,'North West'!G63,'West Midlands'!G63,Northern!G63,Scotland!G63,Southern!G63,'Wales &amp; West'!G63)</f>
        <v>-11</v>
      </c>
      <c r="H106" s="117"/>
      <c r="I106" s="117"/>
      <c r="J106" s="117"/>
      <c r="K106" s="117"/>
      <c r="L106" s="117"/>
      <c r="M106" s="124"/>
      <c r="N106" s="124"/>
      <c r="O106" s="124"/>
      <c r="P106" s="124"/>
      <c r="Q106" s="124"/>
      <c r="R106" s="124"/>
      <c r="S106" s="124"/>
      <c r="T106" s="124"/>
    </row>
    <row r="107" spans="3:20" ht="14.25">
      <c r="C107" s="63" t="s">
        <v>670</v>
      </c>
      <c r="D107" s="71"/>
      <c r="E107" s="116">
        <f>-CHOOSE($B$196,East!E64,London!E64,'North West'!E64,'West Midlands'!E64,Northern!E64,Scotland!E64,Southern!E64,'Wales &amp; West'!E64)</f>
        <v>-1.08</v>
      </c>
      <c r="F107" s="116">
        <f>-CHOOSE($B$196,East!F64,London!F64,'North West'!F64,'West Midlands'!F64,Northern!F64,Scotland!F64,Southern!F64,'Wales &amp; West'!F64)</f>
        <v>-1.7</v>
      </c>
      <c r="G107" s="116">
        <f>-CHOOSE($B$196,East!G64,London!G64,'North West'!G64,'West Midlands'!G64,Northern!G64,Scotland!G64,Southern!G64,'Wales &amp; West'!G64)</f>
        <v>-1.2459718789600158</v>
      </c>
      <c r="H107" s="117"/>
      <c r="I107" s="117"/>
      <c r="J107" s="117"/>
      <c r="K107" s="117"/>
      <c r="L107" s="117"/>
      <c r="M107" s="124"/>
      <c r="N107" s="124"/>
      <c r="O107" s="124"/>
      <c r="P107" s="124"/>
      <c r="Q107" s="124"/>
      <c r="R107" s="124"/>
      <c r="S107" s="124"/>
      <c r="T107" s="124"/>
    </row>
    <row r="108" spans="4:21" ht="14.25">
      <c r="D108" s="71"/>
      <c r="E108" s="124"/>
      <c r="F108" s="124"/>
      <c r="G108" s="124"/>
      <c r="H108" s="124"/>
      <c r="I108" s="124"/>
      <c r="J108" s="124"/>
      <c r="K108" s="124"/>
      <c r="L108" s="124"/>
      <c r="M108" s="124"/>
      <c r="N108" s="124"/>
      <c r="O108" s="124"/>
      <c r="P108" s="124"/>
      <c r="Q108" s="124"/>
      <c r="R108" s="124"/>
      <c r="S108" s="124"/>
      <c r="T108" s="124"/>
      <c r="U108" s="71"/>
    </row>
    <row r="109" spans="3:20" ht="14.25">
      <c r="C109" s="122" t="s">
        <v>305</v>
      </c>
      <c r="D109" s="124"/>
      <c r="M109" s="71"/>
      <c r="N109" s="71"/>
      <c r="O109" s="71"/>
      <c r="P109" s="71"/>
      <c r="Q109" s="71"/>
      <c r="R109" s="71"/>
      <c r="S109" s="71"/>
      <c r="T109" s="71"/>
    </row>
    <row r="110" spans="2:20" ht="14.25">
      <c r="B110" s="216"/>
      <c r="C110" s="77" t="s">
        <v>306</v>
      </c>
      <c r="D110" s="117">
        <v>28</v>
      </c>
      <c r="M110" s="71"/>
      <c r="N110" s="71"/>
      <c r="O110" s="71"/>
      <c r="P110" s="71"/>
      <c r="Q110" s="71"/>
      <c r="R110" s="71"/>
      <c r="S110" s="71"/>
      <c r="T110" s="71"/>
    </row>
    <row r="111" spans="2:20" ht="14.25">
      <c r="B111" s="216"/>
      <c r="C111" s="77" t="s">
        <v>51</v>
      </c>
      <c r="D111" s="117">
        <v>45</v>
      </c>
      <c r="L111" s="70"/>
      <c r="M111" s="71"/>
      <c r="N111" s="71"/>
      <c r="O111" s="71"/>
      <c r="P111" s="71"/>
      <c r="Q111" s="71"/>
      <c r="R111" s="71"/>
      <c r="S111" s="71"/>
      <c r="T111" s="71"/>
    </row>
    <row r="112" spans="3:20" ht="14.25">
      <c r="C112" s="77" t="s">
        <v>259</v>
      </c>
      <c r="D112" s="124"/>
      <c r="E112" s="116">
        <f>CHOOSE($B$196,East!E14,London!E14,'North West'!E14,'West Midlands'!E14,Northern!E14,Scotland!E14,Southern!E14,'Wales &amp; West'!E14)</f>
        <v>15.014188887439131</v>
      </c>
      <c r="F112" s="116">
        <f>CHOOSE($B$196,East!F14,London!F14,'North West'!F14,'West Midlands'!F14,Northern!F14,Scotland!F14,Southern!F14,'Wales &amp; West'!F14)</f>
        <v>18.685952691624216</v>
      </c>
      <c r="G112" s="120">
        <f>CHOOSE($B$196,East!G170,London!G170,'North West'!G170,'West Midlands'!G170,Northern!G170,Scotland!G170,Southern!G170,'Wales &amp; West'!G170)</f>
        <v>39.57079014986718</v>
      </c>
      <c r="H112" s="119">
        <f>CHOOSE($B$196,East!H38,London!H38,'North West'!H38,'West Midlands'!H38,Northern!H38,Scotland!H38,Southern!H38,'Wales &amp; West'!H38)</f>
        <v>54.6952139903908</v>
      </c>
      <c r="I112" s="119">
        <f>CHOOSE($B$196,East!I38,London!I38,'North West'!I38,'West Midlands'!I38,Northern!I38,Scotland!I38,Southern!I38,'Wales &amp; West'!I38)</f>
        <v>54.28978129815417</v>
      </c>
      <c r="J112" s="119">
        <f>CHOOSE($B$196,East!J38,London!J38,'North West'!J38,'West Midlands'!J38,Northern!J38,Scotland!J38,Southern!J38,'Wales &amp; West'!J38)</f>
        <v>44.19824023546712</v>
      </c>
      <c r="K112" s="119">
        <f>CHOOSE($B$196,East!K38,London!K38,'North West'!K38,'West Midlands'!K38,Northern!K38,Scotland!K38,Southern!K38,'Wales &amp; West'!K38)</f>
        <v>44.779926905246654</v>
      </c>
      <c r="L112" s="119">
        <f>CHOOSE($B$196,East!L38,London!L38,'North West'!L38,'West Midlands'!L38,Northern!L38,Scotland!L38,Southern!L38,'Wales &amp; West'!L38)</f>
        <v>41.98795649260217</v>
      </c>
      <c r="M112" s="124"/>
      <c r="N112" s="124"/>
      <c r="O112" s="124"/>
      <c r="P112" s="124"/>
      <c r="Q112" s="124"/>
      <c r="R112" s="71"/>
      <c r="S112" s="71"/>
      <c r="T112" s="71"/>
    </row>
    <row r="113" spans="3:18" ht="14.25">
      <c r="C113" s="77" t="s">
        <v>587</v>
      </c>
      <c r="D113" s="124"/>
      <c r="E113" s="116">
        <f>-E78</f>
        <v>11.074276678253508</v>
      </c>
      <c r="F113" s="116">
        <f>-F78</f>
        <v>9.368536763686148</v>
      </c>
      <c r="G113" s="120">
        <f>-G78</f>
        <v>21.92303386963421</v>
      </c>
      <c r="H113" s="117"/>
      <c r="I113" s="117"/>
      <c r="J113" s="117"/>
      <c r="K113" s="117"/>
      <c r="L113" s="117"/>
      <c r="M113" s="71"/>
      <c r="N113" s="71"/>
      <c r="O113" s="71"/>
      <c r="P113" s="71"/>
      <c r="Q113" s="71"/>
      <c r="R113" s="71"/>
    </row>
    <row r="114" spans="3:18" ht="14.25">
      <c r="C114" s="77" t="s">
        <v>206</v>
      </c>
      <c r="D114" s="124"/>
      <c r="E114" s="118">
        <f>SUM(E112:E113)</f>
        <v>26.088465565692637</v>
      </c>
      <c r="F114" s="118">
        <f>SUM(F112:F113)</f>
        <v>28.054489455310364</v>
      </c>
      <c r="G114" s="118">
        <f>SUM(G112:G113)</f>
        <v>61.49382401950139</v>
      </c>
      <c r="H114" s="117"/>
      <c r="I114" s="117"/>
      <c r="J114" s="117"/>
      <c r="K114" s="117"/>
      <c r="L114" s="117"/>
      <c r="M114" s="71"/>
      <c r="N114" s="71"/>
      <c r="O114" s="71"/>
      <c r="P114" s="71"/>
      <c r="Q114" s="71"/>
      <c r="R114" s="71"/>
    </row>
    <row r="115" spans="3:18" ht="14.25">
      <c r="C115" s="123"/>
      <c r="D115" s="346"/>
      <c r="E115" s="123"/>
      <c r="F115" s="123"/>
      <c r="G115" s="123"/>
      <c r="H115" s="123"/>
      <c r="I115" s="123"/>
      <c r="J115" s="123"/>
      <c r="K115" s="123"/>
      <c r="L115" s="123"/>
      <c r="M115" s="71"/>
      <c r="N115" s="71"/>
      <c r="O115" s="71"/>
      <c r="P115" s="71"/>
      <c r="Q115" s="71"/>
      <c r="R115" s="71"/>
    </row>
    <row r="116" spans="3:18" ht="14.25">
      <c r="C116" s="77" t="s">
        <v>595</v>
      </c>
      <c r="D116" s="124"/>
      <c r="E116" s="116">
        <f>CHOOSE($B$196,East!E24,London!E24,'North West'!E24,'West Midlands'!E24,Northern!E24,Scotland!E24,Southern!E24,'Wales &amp; West'!E24)</f>
        <v>56.036890299999996</v>
      </c>
      <c r="F116" s="116">
        <f>CHOOSE($B$196,East!F24,London!F24,'North West'!F24,'West Midlands'!F24,Northern!F24,Scotland!F24,Southern!F24,'Wales &amp; West'!F24)</f>
        <v>39.746829299999995</v>
      </c>
      <c r="G116" s="116">
        <f>CHOOSE($B$196,East!G24,London!G24,'North West'!G24,'West Midlands'!G24,Northern!G24,Scotland!G24,Southern!G24,'Wales &amp; West'!G24)</f>
        <v>43.03</v>
      </c>
      <c r="H116" s="117"/>
      <c r="I116" s="117"/>
      <c r="J116" s="117"/>
      <c r="K116" s="117"/>
      <c r="L116" s="117"/>
      <c r="M116" s="71"/>
      <c r="N116" s="71"/>
      <c r="O116" s="71"/>
      <c r="P116" s="71"/>
      <c r="Q116" s="71"/>
      <c r="R116" s="71"/>
    </row>
    <row r="117" spans="3:18" ht="14.25">
      <c r="C117" s="63" t="s">
        <v>343</v>
      </c>
      <c r="D117" s="71"/>
      <c r="E117" s="120">
        <f>CHOOSE($B$196,East!E154,London!E154,'North West'!E154,'West Midlands'!E154,Northern!E154,Scotland!E154,Southern!E154,'Wales &amp; West'!E154)</f>
        <v>23.89</v>
      </c>
      <c r="F117" s="120">
        <f>CHOOSE($B$196,East!F154,London!F154,'North West'!F154,'West Midlands'!F154,Northern!F154,Scotland!F154,Southern!F154,'Wales &amp; West'!F154)</f>
        <v>23.5854210832985</v>
      </c>
      <c r="G117" s="116">
        <f>CHOOSE($B$196,East!G30,London!G30,'North West'!G30,'West Midlands'!G30,Northern!G30,Scotland!G30,Southern!G30,'Wales &amp; West'!G30)</f>
        <v>25.5</v>
      </c>
      <c r="H117" s="117"/>
      <c r="I117" s="117"/>
      <c r="J117" s="117"/>
      <c r="K117" s="117"/>
      <c r="L117" s="117"/>
      <c r="M117" s="71"/>
      <c r="N117" s="71"/>
      <c r="O117" s="71"/>
      <c r="P117" s="71"/>
      <c r="Q117" s="71"/>
      <c r="R117" s="71"/>
    </row>
    <row r="118" spans="3:18" ht="14.25">
      <c r="C118" s="63" t="s">
        <v>207</v>
      </c>
      <c r="D118" s="71"/>
      <c r="E118" s="118">
        <f>+E116+E117</f>
        <v>79.9268903</v>
      </c>
      <c r="F118" s="118">
        <f>+F116+F117</f>
        <v>63.33225038329849</v>
      </c>
      <c r="G118" s="118">
        <f>+G116+G117</f>
        <v>68.53</v>
      </c>
      <c r="H118" s="117"/>
      <c r="I118" s="117"/>
      <c r="J118" s="117"/>
      <c r="K118" s="117"/>
      <c r="L118" s="117"/>
      <c r="M118" s="71"/>
      <c r="N118" s="71"/>
      <c r="O118" s="71"/>
      <c r="P118" s="71"/>
      <c r="Q118" s="71"/>
      <c r="R118" s="71"/>
    </row>
    <row r="119" spans="3:18" ht="14.25">
      <c r="C119" s="63" t="s">
        <v>540</v>
      </c>
      <c r="D119" s="71"/>
      <c r="E119" s="118">
        <f>+E118-E114</f>
        <v>53.83842473430736</v>
      </c>
      <c r="F119" s="118">
        <f>+F118-F114</f>
        <v>35.277760927988126</v>
      </c>
      <c r="G119" s="124"/>
      <c r="M119" s="71"/>
      <c r="N119" s="71"/>
      <c r="O119" s="71"/>
      <c r="P119" s="71"/>
      <c r="Q119" s="71"/>
      <c r="R119" s="71"/>
    </row>
    <row r="120" spans="3:18" ht="14.25">
      <c r="C120" s="63" t="s">
        <v>541</v>
      </c>
      <c r="D120" s="71"/>
      <c r="E120" s="118">
        <f>CHOOSE($B$196,East!E162,London!E162,'North West'!E162,'West Midlands'!E162,Northern!E162,Scotland!E162,Southern!E162,'Wales &amp; West'!E162)</f>
        <v>14.125876623774511</v>
      </c>
      <c r="F120" s="118">
        <f>CHOOSE($B$196,East!F162,London!F162,'North West'!F162,'West Midlands'!F162,Northern!F162,Scotland!F162,Southern!F162,'Wales &amp; West'!F162)</f>
        <v>0.02978740552325554</v>
      </c>
      <c r="G120" s="124"/>
      <c r="M120" s="71"/>
      <c r="N120" s="71"/>
      <c r="O120" s="71"/>
      <c r="P120" s="71"/>
      <c r="Q120" s="71"/>
      <c r="R120" s="71"/>
    </row>
    <row r="121" spans="3:18" ht="14.25">
      <c r="C121" s="63" t="s">
        <v>542</v>
      </c>
      <c r="D121" s="71"/>
      <c r="E121" s="118">
        <f>CHOOSE($B$196,East!E163,London!E163,'North West'!E163,'West Midlands'!E163,Northern!E163,Scotland!E163,Southern!E163,'Wales &amp; West'!E163)</f>
        <v>25.580848203317956</v>
      </c>
      <c r="F121" s="118">
        <f>CHOOSE($B$196,East!F163,London!F163,'North West'!F163,'West Midlands'!F163,Northern!F163,Scotland!F163,Southern!F163,'Wales &amp; West'!F163)</f>
        <v>25.294829431315655</v>
      </c>
      <c r="G121" s="124"/>
      <c r="M121" s="71"/>
      <c r="N121" s="71"/>
      <c r="O121" s="71"/>
      <c r="P121" s="71"/>
      <c r="Q121" s="71"/>
      <c r="R121" s="71"/>
    </row>
    <row r="122" spans="3:18" ht="14.25">
      <c r="C122" s="63" t="s">
        <v>543</v>
      </c>
      <c r="D122" s="71"/>
      <c r="E122" s="118">
        <f>CHOOSE($B$196,East!E164,London!E164,'North West'!E164,'West Midlands'!E164,Northern!E164,Scotland!E164,Southern!E164,'Wales &amp; West'!E164)</f>
        <v>12.055068758339804</v>
      </c>
      <c r="F122" s="118">
        <f>CHOOSE($B$196,East!F164,London!F164,'North West'!F164,'West Midlands'!F164,Northern!F164,Scotland!F164,Southern!F164,'Wales &amp; West'!F164)</f>
        <v>8.989020856434687</v>
      </c>
      <c r="G122" s="124"/>
      <c r="M122" s="71"/>
      <c r="N122" s="71"/>
      <c r="O122" s="71"/>
      <c r="P122" s="71"/>
      <c r="Q122" s="71"/>
      <c r="R122" s="71"/>
    </row>
    <row r="123" spans="3:18" ht="14.25">
      <c r="C123" s="63" t="s">
        <v>329</v>
      </c>
      <c r="D123" s="71"/>
      <c r="E123" s="118">
        <f>CHOOSE($B$196,East!E165,London!E165,'North West'!E165,'West Midlands'!E165,Northern!E165,Scotland!E165,Southern!E165,'Wales &amp; West'!E165)</f>
        <v>-0.005031</v>
      </c>
      <c r="F123" s="118">
        <f>CHOOSE($B$196,East!F165,London!F165,'North West'!F165,'West Midlands'!F165,Northern!F165,Scotland!F165,Southern!F165,'Wales &amp; West'!F165)</f>
        <v>0</v>
      </c>
      <c r="M123" s="71"/>
      <c r="N123" s="71"/>
      <c r="O123" s="71"/>
      <c r="P123" s="71"/>
      <c r="Q123" s="71"/>
      <c r="R123" s="71"/>
    </row>
    <row r="124" spans="5:18" ht="14.25">
      <c r="E124" s="125"/>
      <c r="F124" s="125"/>
      <c r="M124" s="71"/>
      <c r="N124" s="71"/>
      <c r="O124" s="71"/>
      <c r="P124" s="71"/>
      <c r="Q124" s="71"/>
      <c r="R124" s="71"/>
    </row>
    <row r="125" spans="3:18" ht="14.25">
      <c r="C125" s="63" t="s">
        <v>549</v>
      </c>
      <c r="D125" s="116">
        <f>CHOOSE($B$196,East!D65,London!D65,'North West'!D65,'West Midlands'!D65,Northern!D65,Scotland!D65,Southern!D65,'Wales &amp; West'!D65)</f>
        <v>1038.010424933289</v>
      </c>
      <c r="M125" s="71"/>
      <c r="N125" s="71"/>
      <c r="O125" s="71"/>
      <c r="P125" s="71"/>
      <c r="Q125" s="71"/>
      <c r="R125" s="71"/>
    </row>
    <row r="126" spans="3:18" ht="14.25">
      <c r="C126" s="63" t="s">
        <v>320</v>
      </c>
      <c r="D126" s="124"/>
      <c r="E126" s="116">
        <f>CHOOSE($B$196,East!E66,London!E66,'North West'!E66,'West Midlands'!E66,Northern!E66,Scotland!E66,Southern!E66,'Wales &amp; West'!E66)</f>
        <v>0</v>
      </c>
      <c r="F126" s="116">
        <f>CHOOSE($B$196,East!F66,London!F66,'North West'!F66,'West Midlands'!F66,Northern!F66,Scotland!F66,Southern!F66,'Wales &amp; West'!F66)</f>
        <v>0</v>
      </c>
      <c r="G126" s="116"/>
      <c r="M126" s="71"/>
      <c r="N126" s="71"/>
      <c r="O126" s="71"/>
      <c r="P126" s="71"/>
      <c r="Q126" s="71"/>
      <c r="R126" s="71"/>
    </row>
    <row r="127" spans="2:18" ht="14.25">
      <c r="B127" s="216"/>
      <c r="C127" s="63" t="s">
        <v>321</v>
      </c>
      <c r="D127" s="124"/>
      <c r="E127" s="116">
        <f>CHOOSE($B$196,East!E67,London!E67,'North West'!E67,'West Midlands'!E67,Northern!E67,Scotland!E67,Southern!E67,'Wales &amp; West'!E67)</f>
        <v>0</v>
      </c>
      <c r="F127" s="116">
        <f>CHOOSE($B$196,East!F67,London!F67,'North West'!F67,'West Midlands'!F67,Northern!F67,Scotland!F67,Southern!F67,'Wales &amp; West'!F67)</f>
        <v>0</v>
      </c>
      <c r="G127" s="116"/>
      <c r="M127" s="71"/>
      <c r="N127" s="71"/>
      <c r="O127" s="71"/>
      <c r="P127" s="71"/>
      <c r="Q127" s="71"/>
      <c r="R127" s="71"/>
    </row>
    <row r="128" spans="4:18" ht="14.25">
      <c r="D128" s="124"/>
      <c r="E128" s="124"/>
      <c r="F128" s="124"/>
      <c r="M128" s="71"/>
      <c r="N128" s="71"/>
      <c r="O128" s="71"/>
      <c r="P128" s="71"/>
      <c r="Q128" s="71"/>
      <c r="R128" s="71"/>
    </row>
    <row r="129" spans="3:18" ht="14.25">
      <c r="C129" s="69" t="s">
        <v>312</v>
      </c>
      <c r="D129" s="124"/>
      <c r="E129" s="124"/>
      <c r="F129" s="124"/>
      <c r="M129" s="71"/>
      <c r="N129" s="71"/>
      <c r="O129" s="71"/>
      <c r="P129" s="71"/>
      <c r="Q129" s="71"/>
      <c r="R129" s="71"/>
    </row>
    <row r="130" spans="3:18" ht="14.25">
      <c r="C130" s="63" t="s">
        <v>577</v>
      </c>
      <c r="D130" s="124"/>
      <c r="E130" s="116">
        <f>CHOOSE($B$196,East!E54,London!E54,'North West'!E54,'West Midlands'!E54,Northern!E54,Scotland!E54,Southern!E54,'Wales &amp; West'!E54)</f>
        <v>4.088224365243601</v>
      </c>
      <c r="F130" s="116">
        <f>CHOOSE($B$196,East!F54,London!F54,'North West'!F54,'West Midlands'!F54,Northern!F54,Scotland!F54,Southern!F54,'Wales &amp; West'!F54)</f>
        <v>3.865416360808537</v>
      </c>
      <c r="M130" s="71"/>
      <c r="N130" s="71"/>
      <c r="O130" s="71"/>
      <c r="P130" s="71"/>
      <c r="Q130" s="71"/>
      <c r="R130" s="71"/>
    </row>
    <row r="131" spans="3:18" ht="14.25">
      <c r="C131" s="63" t="s">
        <v>578</v>
      </c>
      <c r="D131" s="124"/>
      <c r="E131" s="116">
        <f>CHOOSE($B$196,East!E55,London!E55,'North West'!E55,'West Midlands'!E55,Northern!E55,Scotland!E55,Southern!E55,'Wales &amp; West'!E55)</f>
        <v>11.7</v>
      </c>
      <c r="F131" s="116">
        <f>CHOOSE($B$196,East!F55,London!F55,'North West'!F55,'West Midlands'!F55,Northern!F55,Scotland!F55,Southern!F55,'Wales &amp; West'!F55)</f>
        <v>11.3</v>
      </c>
      <c r="M131" s="71"/>
      <c r="N131" s="71"/>
      <c r="O131" s="71"/>
      <c r="P131" s="71"/>
      <c r="Q131" s="71"/>
      <c r="R131" s="71"/>
    </row>
    <row r="132" spans="2:18" ht="14.25">
      <c r="B132" s="216"/>
      <c r="C132" s="63" t="s">
        <v>313</v>
      </c>
      <c r="D132" s="124"/>
      <c r="E132" s="116">
        <f>CHOOSE($B$196,East!E57,London!E57,'North West'!E57,'West Midlands'!E57,Northern!E57,Scotland!E57,Southern!E57,'Wales &amp; West'!E57)</f>
        <v>2.8922735504984387</v>
      </c>
      <c r="F132" s="116">
        <f>CHOOSE($B$196,East!F57,London!F57,'North West'!F57,'West Midlands'!F57,Northern!F57,Scotland!F57,Southern!F57,'Wales &amp; West'!F57)</f>
        <v>2.8186378587338825</v>
      </c>
      <c r="G132" s="116">
        <f>CHOOSE($B$196,East!G57,London!G57,'North West'!G57,'West Midlands'!G57,Northern!G57,Scotland!G57,Southern!G57,'Wales &amp; West'!G57)</f>
        <v>10.55582797321977</v>
      </c>
      <c r="H132" s="124"/>
      <c r="I132" s="124"/>
      <c r="J132" s="124"/>
      <c r="K132" s="124"/>
      <c r="L132" s="124"/>
      <c r="M132" s="124"/>
      <c r="N132" s="124"/>
      <c r="O132" s="124"/>
      <c r="P132" s="124"/>
      <c r="Q132" s="124"/>
      <c r="R132" s="71"/>
    </row>
    <row r="133" spans="3:18" ht="14.25">
      <c r="C133" s="63" t="s">
        <v>314</v>
      </c>
      <c r="D133" s="124"/>
      <c r="E133" s="116">
        <f>CHOOSE($B$196,East!E59,London!E59,'North West'!E59,'West Midlands'!E59,Northern!E59,Scotland!E59,Southern!E59,'Wales &amp; West'!E59)</f>
        <v>4.552446570407437</v>
      </c>
      <c r="F133" s="116">
        <f>CHOOSE($B$196,East!F59,London!F59,'North West'!F59,'West Midlands'!F59,Northern!F59,Scotland!F59,Southern!F59,'Wales &amp; West'!F59)</f>
        <v>3.583103396695516</v>
      </c>
      <c r="G133" s="116">
        <f>CHOOSE($B$196,East!G59,London!G59,'North West'!G59,'West Midlands'!G59,Northern!G59,Scotland!G59,Southern!G59,'Wales &amp; West'!G59)</f>
        <v>6.226948280859076</v>
      </c>
      <c r="M133" s="71"/>
      <c r="N133" s="71"/>
      <c r="O133" s="71"/>
      <c r="P133" s="71"/>
      <c r="Q133" s="71"/>
      <c r="R133" s="71"/>
    </row>
    <row r="134" spans="2:18" ht="14.25">
      <c r="B134" s="216"/>
      <c r="C134" s="63" t="s">
        <v>233</v>
      </c>
      <c r="D134" s="124"/>
      <c r="E134" s="126">
        <f>CHOOSE($B$196,East!E98,London!E98,'North West'!E98,'West Midlands'!E98,Northern!E98,Scotland!E98,Southern!E98,'Wales &amp; West'!E98)</f>
        <v>0.775</v>
      </c>
      <c r="F134" s="126">
        <f>CHOOSE($B$196,East!F98,London!F98,'North West'!F98,'West Midlands'!F98,Northern!F98,Scotland!F98,Southern!F98,'Wales &amp; West'!F98)</f>
        <v>0.685483870967742</v>
      </c>
      <c r="G134" s="126">
        <f>CHOOSE($B$196,East!G98,London!G98,'North West'!G98,'West Midlands'!G98,Northern!G98,Scotland!G98,Southern!G98,'Wales &amp; West'!G98)</f>
        <v>0.6507936507936508</v>
      </c>
      <c r="H134" s="119">
        <f>CHOOSE($B$196,East!H98,London!H98,'North West'!H98,'West Midlands'!H98,Northern!H98,Scotland!H98,Southern!H98,'Wales &amp; West'!H98)</f>
        <v>-2.389334361624286</v>
      </c>
      <c r="I134" s="119">
        <f>CHOOSE($B$196,East!I98,London!I98,'North West'!I98,'West Midlands'!I98,Northern!I98,Scotland!I98,Southern!I98,'Wales &amp; West'!I98)</f>
        <v>-2.7889220003174033</v>
      </c>
      <c r="J134" s="119">
        <f>CHOOSE($B$196,East!J98,London!J98,'North West'!J98,'West Midlands'!J98,Northern!J98,Scotland!J98,Southern!J98,'Wales &amp; West'!J98)</f>
        <v>-2.367233789872569</v>
      </c>
      <c r="K134" s="119">
        <f>CHOOSE($B$196,East!K98,London!K98,'North West'!K98,'West Midlands'!K98,Northern!K98,Scotland!K98,Southern!K98,'Wales &amp; West'!K98)</f>
        <v>-2.0229707216650974</v>
      </c>
      <c r="L134" s="119">
        <f>CHOOSE($B$196,East!L98,London!L98,'North West'!L98,'West Midlands'!L98,Northern!L98,Scotland!L98,Southern!L98,'Wales &amp; West'!L98)</f>
        <v>-2.052182710818331</v>
      </c>
      <c r="M134" s="124"/>
      <c r="N134" s="124"/>
      <c r="O134" s="124"/>
      <c r="P134" s="124"/>
      <c r="Q134" s="124"/>
      <c r="R134" s="71"/>
    </row>
    <row r="135" spans="2:18" ht="14.25">
      <c r="B135" s="216"/>
      <c r="C135" s="63" t="s">
        <v>299</v>
      </c>
      <c r="D135" s="124"/>
      <c r="E135" s="126">
        <f>CHOOSE($B$196,East!E60,London!E60,'North West'!E60,'West Midlands'!E60,Northern!E60,Scotland!E60,Southern!E60,'Wales &amp; West'!E60)</f>
        <v>0.233</v>
      </c>
      <c r="F135" s="126">
        <f>CHOOSE($B$196,East!F60,London!F60,'North West'!F60,'West Midlands'!F60,Northern!F60,Scotland!F60,Southern!F60,'Wales &amp; West'!F60)</f>
        <v>0.207</v>
      </c>
      <c r="G135" s="126">
        <f>CHOOSE($B$196,East!G60,London!G60,'North West'!G60,'West Midlands'!G60,Northern!G60,Scotland!G60,Southern!G60,'Wales &amp; West'!G60)</f>
        <v>0.393</v>
      </c>
      <c r="M135" s="71"/>
      <c r="N135" s="71"/>
      <c r="O135" s="71"/>
      <c r="P135" s="71"/>
      <c r="Q135" s="71"/>
      <c r="R135" s="71"/>
    </row>
    <row r="136" spans="2:18" ht="14.25">
      <c r="B136" s="216"/>
      <c r="C136" s="63" t="s">
        <v>608</v>
      </c>
      <c r="D136" s="124"/>
      <c r="E136" s="118">
        <f>(E133-E132)</f>
        <v>1.660173019908998</v>
      </c>
      <c r="F136" s="118">
        <f>(F133-F132)</f>
        <v>0.7644655379616334</v>
      </c>
      <c r="G136" s="112"/>
      <c r="M136" s="71"/>
      <c r="N136" s="71"/>
      <c r="O136" s="71"/>
      <c r="P136" s="71"/>
      <c r="Q136" s="71"/>
      <c r="R136" s="71"/>
    </row>
    <row r="137" spans="3:18" ht="14.25">
      <c r="C137" s="63" t="s">
        <v>571</v>
      </c>
      <c r="D137" s="124"/>
      <c r="E137" s="116">
        <f>CHOOSE($B$196,East!E61,London!E61,'North West'!E61,'West Midlands'!E61,Northern!E61,Scotland!E61,Southern!E61,'Wales &amp; West'!E61,)</f>
        <v>37</v>
      </c>
      <c r="F137" s="116">
        <f>CHOOSE($B$196,East!F61,London!F61,'North West'!F61,'West Midlands'!F61,Northern!F61,Scotland!F61,Southern!F61,'Wales &amp; West'!F61,)</f>
        <v>0</v>
      </c>
      <c r="G137" s="116">
        <f>CHOOSE($B$196,East!G61,London!G61,'North West'!G61,'West Midlands'!G61,Northern!G61,Scotland!G61,Southern!G61,'Wales &amp; West'!G61,)</f>
        <v>5.182100601493819</v>
      </c>
      <c r="M137" s="71"/>
      <c r="N137" s="71"/>
      <c r="O137" s="71"/>
      <c r="P137" s="71"/>
      <c r="Q137" s="71"/>
      <c r="R137" s="71"/>
    </row>
    <row r="138" spans="3:18" ht="14.25">
      <c r="C138" s="63" t="s">
        <v>453</v>
      </c>
      <c r="D138" s="124"/>
      <c r="G138" s="116">
        <f>CHOOSE($B$196,East!G62,London!G62,'North West'!G62,'West Midlands'!G62,Northern!G62,Scotland!G62,Southern!G62,'Wales &amp; West'!G62,)</f>
        <v>2.7829543480216525</v>
      </c>
      <c r="M138" s="71"/>
      <c r="N138" s="71"/>
      <c r="O138" s="71"/>
      <c r="P138" s="71"/>
      <c r="Q138" s="71"/>
      <c r="R138" s="71"/>
    </row>
    <row r="139" spans="4:18" ht="14.25">
      <c r="D139" s="124"/>
      <c r="M139" s="71"/>
      <c r="N139" s="71"/>
      <c r="O139" s="71"/>
      <c r="P139" s="71"/>
      <c r="Q139" s="71"/>
      <c r="R139" s="71"/>
    </row>
    <row r="140" spans="3:18" ht="14.25">
      <c r="C140" s="63" t="s">
        <v>636</v>
      </c>
      <c r="D140" s="124"/>
      <c r="E140" s="119">
        <f>N(CHOOSE($B$196,East!E103,London!E103,'North West'!E103,'West Midlands'!E103,Northern!E103,Scotland!E103,Southern!E103,'Wales &amp; West'!E103))</f>
        <v>0</v>
      </c>
      <c r="F140" s="119">
        <f>N(CHOOSE($B$196,East!F103,London!F103,'North West'!F103,'West Midlands'!F103,Northern!F103,Scotland!F103,Southern!F103,'Wales &amp; West'!F103))</f>
        <v>0</v>
      </c>
      <c r="G140" s="119">
        <f>N(CHOOSE($B$196,East!G103,London!G103,'North West'!G103,'West Midlands'!G103,Northern!G103,Scotland!G103,Southern!G103,'Wales &amp; West'!G103))</f>
        <v>0</v>
      </c>
      <c r="H140" s="119">
        <f>N(CHOOSE($B$196,East!H103,London!H103,'North West'!H103,'West Midlands'!H103,Northern!H103,Scotland!H103,Southern!H103,'Wales &amp; West'!H103))</f>
        <v>0</v>
      </c>
      <c r="I140" s="119">
        <f>N(CHOOSE($B$196,East!I103,London!I103,'North West'!I103,'West Midlands'!I103,Northern!I103,Scotland!I103,Southern!I103,'Wales &amp; West'!I103))</f>
        <v>0</v>
      </c>
      <c r="J140" s="119">
        <f>N(CHOOSE($B$196,East!J103,London!J103,'North West'!J103,'West Midlands'!J103,Northern!J103,Scotland!J103,Southern!J103,'Wales &amp; West'!J103))</f>
        <v>0</v>
      </c>
      <c r="K140" s="119">
        <f>N(CHOOSE($B$196,East!K103,London!K103,'North West'!K103,'West Midlands'!K103,Northern!K103,Scotland!K103,Southern!K103,'Wales &amp; West'!K103))</f>
        <v>0</v>
      </c>
      <c r="L140" s="119">
        <f>N(CHOOSE($B$196,East!L103,London!L103,'North West'!L103,'West Midlands'!L103,Northern!L103,Scotland!L103,Southern!L103,'Wales &amp; West'!L103))</f>
        <v>0</v>
      </c>
      <c r="M140" s="124"/>
      <c r="N140" s="124"/>
      <c r="O140" s="124"/>
      <c r="P140" s="124"/>
      <c r="Q140" s="124"/>
      <c r="R140" s="71"/>
    </row>
    <row r="141" spans="3:18" ht="14.25">
      <c r="C141" s="63" t="s">
        <v>647</v>
      </c>
      <c r="D141" s="124"/>
      <c r="E141" s="119">
        <f>N(CHOOSE($B$196,East!E104,London!E104,'North West'!E104,'West Midlands'!E104,Northern!E104,Scotland!E104,Southern!E104,'Wales &amp; West'!E104))</f>
        <v>1257.118</v>
      </c>
      <c r="F141" s="119">
        <f>N(CHOOSE($B$196,East!F104,London!F104,'North West'!F104,'West Midlands'!F104,Northern!F104,Scotland!F104,Southern!F104,'Wales &amp; West'!F104))</f>
        <v>1259.113</v>
      </c>
      <c r="G141" s="119">
        <f>N(CHOOSE($B$196,East!G104,London!G104,'North West'!G104,'West Midlands'!G104,Northern!G104,Scotland!G104,Southern!G104,'Wales &amp; West'!G104))</f>
        <v>1256.841</v>
      </c>
      <c r="H141" s="119">
        <f>N(CHOOSE($B$196,East!H104,London!H104,'North West'!H104,'West Midlands'!H104,Northern!H104,Scotland!H104,Southern!H104,'Wales &amp; West'!H104))</f>
        <v>1263.264</v>
      </c>
      <c r="I141" s="119">
        <f>N(CHOOSE($B$196,East!I104,London!I104,'North West'!I104,'West Midlands'!I104,Northern!I104,Scotland!I104,Southern!I104,'Wales &amp; West'!I104))</f>
        <v>1297.687</v>
      </c>
      <c r="J141" s="119">
        <f>N(CHOOSE($B$196,East!J104,London!J104,'North West'!J104,'West Midlands'!J104,Northern!J104,Scotland!J104,Southern!J104,'Wales &amp; West'!J104))</f>
        <v>1307.057</v>
      </c>
      <c r="K141" s="119">
        <f>N(CHOOSE($B$196,East!K104,London!K104,'North West'!K104,'West Midlands'!K104,Northern!K104,Scotland!K104,Southern!K104,'Wales &amp; West'!K104))</f>
        <v>1306.548</v>
      </c>
      <c r="L141" s="119">
        <f>N(CHOOSE($B$196,East!L104,London!L104,'North West'!L104,'West Midlands'!L104,Northern!L104,Scotland!L104,Southern!L104,'Wales &amp; West'!L104))</f>
        <v>1303.247</v>
      </c>
      <c r="M141" s="124"/>
      <c r="N141" s="124"/>
      <c r="O141" s="124"/>
      <c r="P141" s="124"/>
      <c r="Q141" s="124"/>
      <c r="R141" s="71"/>
    </row>
    <row r="142" spans="2:18" ht="14.25">
      <c r="B142" s="216"/>
      <c r="C142" s="63" t="s">
        <v>111</v>
      </c>
      <c r="D142" s="124"/>
      <c r="M142" s="71"/>
      <c r="N142" s="71"/>
      <c r="O142" s="71"/>
      <c r="P142" s="71"/>
      <c r="Q142" s="71"/>
      <c r="R142" s="71"/>
    </row>
    <row r="143" spans="4:18" ht="14.25">
      <c r="D143" s="124"/>
      <c r="M143" s="71"/>
      <c r="N143" s="71"/>
      <c r="O143" s="71"/>
      <c r="P143" s="71"/>
      <c r="Q143" s="71"/>
      <c r="R143" s="71"/>
    </row>
    <row r="144" spans="3:18" ht="14.25">
      <c r="C144" s="63" t="s">
        <v>0</v>
      </c>
      <c r="D144" s="124"/>
      <c r="E144" s="119">
        <f>N(CHOOSE($B$196,East!E107,London!E107,'North West'!E107,'West Midlands'!E107,Northern!E107,Scotland!E107,Southern!E107,'Wales &amp; West'!E107))</f>
        <v>0.97</v>
      </c>
      <c r="F144" s="119">
        <f>N(CHOOSE($B$196,East!F107,London!F107,'North West'!F107,'West Midlands'!F107,Northern!F107,Scotland!F107,Southern!F107,'Wales &amp; West'!F107))</f>
        <v>3.03</v>
      </c>
      <c r="G144" s="119">
        <f>N(CHOOSE($B$196,East!G107,London!G107,'North West'!G107,'West Midlands'!G107,Northern!G107,Scotland!G107,Southern!G107,'Wales &amp; West'!G107))</f>
        <v>3.03</v>
      </c>
      <c r="H144" s="119">
        <f>N(CHOOSE($B$196,East!H107,London!H107,'North West'!H107,'West Midlands'!H107,Northern!H107,Scotland!H107,Southern!H107,'Wales &amp; West'!H107))</f>
        <v>3.03</v>
      </c>
      <c r="I144" s="119">
        <f>N(CHOOSE($B$196,East!I107,London!I107,'North West'!I107,'West Midlands'!I107,Northern!I107,Scotland!I107,Southern!I107,'Wales &amp; West'!I107))</f>
        <v>3.03</v>
      </c>
      <c r="J144" s="119">
        <f>N(CHOOSE($B$196,East!J107,London!J107,'North West'!J107,'West Midlands'!J107,Northern!J107,Scotland!J107,Southern!J107,'Wales &amp; West'!J107))</f>
        <v>3.03</v>
      </c>
      <c r="K144" s="119">
        <f>N(CHOOSE($B$196,East!K107,London!K107,'North West'!K107,'West Midlands'!K107,Northern!K107,Scotland!K107,Southern!K107,'Wales &amp; West'!K107))</f>
        <v>3.03</v>
      </c>
      <c r="L144" s="119">
        <f>N(CHOOSE($B$196,East!L107,London!L107,'North West'!L107,'West Midlands'!L107,Northern!L107,Scotland!L107,Southern!L107,'Wales &amp; West'!L107))</f>
        <v>3.03</v>
      </c>
      <c r="M144" s="124"/>
      <c r="N144" s="124"/>
      <c r="O144" s="124"/>
      <c r="P144" s="124"/>
      <c r="Q144" s="124"/>
      <c r="R144" s="71"/>
    </row>
    <row r="145" spans="3:18" ht="14.25">
      <c r="C145" s="63" t="s">
        <v>756</v>
      </c>
      <c r="D145" s="124"/>
      <c r="E145" s="119">
        <f>N(CHOOSE($B$196,East!E108,London!E108,'North West'!E108,'West Midlands'!E108,Northern!E108,Scotland!E108,Southern!E108,'Wales &amp; West'!E108))</f>
        <v>0</v>
      </c>
      <c r="F145" s="119">
        <f>N(CHOOSE($B$196,East!F108,London!F108,'North West'!F108,'West Midlands'!F108,Northern!F108,Scotland!F108,Southern!F108,'Wales &amp; West'!F108))</f>
        <v>0</v>
      </c>
      <c r="G145" s="119">
        <f>N(CHOOSE($B$196,East!G108,London!G108,'North West'!G108,'West Midlands'!G108,Northern!G108,Scotland!G108,Southern!G108,'Wales &amp; West'!G108))</f>
        <v>0</v>
      </c>
      <c r="H145" s="119">
        <f>N(CHOOSE($B$196,East!H108,London!H108,'North West'!H108,'West Midlands'!H108,Northern!H108,Scotland!H108,Southern!H108,'Wales &amp; West'!H108))</f>
        <v>0</v>
      </c>
      <c r="I145" s="119">
        <f>N(CHOOSE($B$196,East!I108,London!I108,'North West'!I108,'West Midlands'!I108,Northern!I108,Scotland!I108,Southern!I108,'Wales &amp; West'!I108))</f>
        <v>0</v>
      </c>
      <c r="J145" s="119">
        <f>N(CHOOSE($B$196,East!J108,London!J108,'North West'!J108,'West Midlands'!J108,Northern!J108,Scotland!J108,Southern!J108,'Wales &amp; West'!J108))</f>
        <v>0</v>
      </c>
      <c r="K145" s="119">
        <f>N(CHOOSE($B$196,East!K108,London!K108,'North West'!K108,'West Midlands'!K108,Northern!K108,Scotland!K108,Southern!K108,'Wales &amp; West'!K108))</f>
        <v>0</v>
      </c>
      <c r="L145" s="119">
        <f>N(CHOOSE($B$196,East!L108,London!L108,'North West'!L108,'West Midlands'!L108,Northern!L108,Scotland!L108,Southern!L108,'Wales &amp; West'!L108))</f>
        <v>0</v>
      </c>
      <c r="M145" s="124"/>
      <c r="N145" s="124"/>
      <c r="O145" s="124"/>
      <c r="P145" s="124"/>
      <c r="Q145" s="124"/>
      <c r="R145" s="71"/>
    </row>
    <row r="146" spans="3:18" ht="14.25">
      <c r="C146" s="63" t="s">
        <v>637</v>
      </c>
      <c r="D146" s="124"/>
      <c r="E146" s="119">
        <f>N(CHOOSE($B$196,East!E109,London!E109,'North West'!E109,'West Midlands'!E109,Northern!E109,Scotland!E109,Southern!E109,'Wales &amp; West'!E109))</f>
        <v>34.737</v>
      </c>
      <c r="F146" s="119">
        <f>N(CHOOSE($B$196,East!F109,London!F109,'North West'!F109,'West Midlands'!F109,Northern!F109,Scotland!F109,Southern!F109,'Wales &amp; West'!F109))</f>
        <v>61.536</v>
      </c>
      <c r="G146" s="119">
        <f>N(CHOOSE($B$196,East!G109,London!G109,'North West'!G109,'West Midlands'!G109,Northern!G109,Scotland!G109,Southern!G109,'Wales &amp; West'!G109))</f>
        <v>98.191</v>
      </c>
      <c r="H146" s="119">
        <f>N(CHOOSE($B$196,East!H109,London!H109,'North West'!H109,'West Midlands'!H109,Northern!H109,Scotland!H109,Southern!H109,'Wales &amp; West'!H109))</f>
        <v>136.14100000000002</v>
      </c>
      <c r="I146" s="119">
        <f>N(CHOOSE($B$196,East!I109,London!I109,'North West'!I109,'West Midlands'!I109,Northern!I109,Scotland!I109,Southern!I109,'Wales &amp; West'!I109))</f>
        <v>177.322</v>
      </c>
      <c r="J146" s="119">
        <f>N(CHOOSE($B$196,East!J109,London!J109,'North West'!J109,'West Midlands'!J109,Northern!J109,Scotland!J109,Southern!J109,'Wales &amp; West'!J109))</f>
        <v>216.67200000000003</v>
      </c>
      <c r="K146" s="119">
        <f>N(CHOOSE($B$196,East!K109,London!K109,'North West'!K109,'West Midlands'!K109,Northern!K109,Scotland!K109,Southern!K109,'Wales &amp; West'!K109))</f>
        <v>261.587</v>
      </c>
      <c r="L146" s="119">
        <f>N(CHOOSE($B$196,East!L109,London!L109,'North West'!L109,'West Midlands'!L109,Northern!L109,Scotland!L109,Southern!L109,'Wales &amp; West'!L109))</f>
        <v>310.359</v>
      </c>
      <c r="M146" s="124"/>
      <c r="N146" s="124"/>
      <c r="O146" s="124"/>
      <c r="P146" s="124"/>
      <c r="Q146" s="124"/>
      <c r="R146" s="71"/>
    </row>
    <row r="147" spans="3:18" ht="14.25">
      <c r="C147" s="63" t="s">
        <v>648</v>
      </c>
      <c r="D147" s="124"/>
      <c r="E147" s="119">
        <f>N(CHOOSE($B$196,East!E110,London!E110,'North West'!E110,'West Midlands'!E110,Northern!E110,Scotland!E110,Southern!E110,'Wales &amp; West'!E110))</f>
        <v>0</v>
      </c>
      <c r="F147" s="119">
        <f>N(CHOOSE($B$196,East!F110,London!F110,'North West'!F110,'West Midlands'!F110,Northern!F110,Scotland!F110,Southern!F110,'Wales &amp; West'!F110))</f>
        <v>0</v>
      </c>
      <c r="G147" s="119">
        <f>N(CHOOSE($B$196,East!G110,London!G110,'North West'!G110,'West Midlands'!G110,Northern!G110,Scotland!G110,Southern!G110,'Wales &amp; West'!G110))</f>
        <v>0</v>
      </c>
      <c r="H147" s="119">
        <f>N(CHOOSE($B$196,East!H110,London!H110,'North West'!H110,'West Midlands'!H110,Northern!H110,Scotland!H110,Southern!H110,'Wales &amp; West'!H110))</f>
        <v>0</v>
      </c>
      <c r="I147" s="119">
        <f>N(CHOOSE($B$196,East!I110,London!I110,'North West'!I110,'West Midlands'!I110,Northern!I110,Scotland!I110,Southern!I110,'Wales &amp; West'!I110))</f>
        <v>0</v>
      </c>
      <c r="J147" s="119">
        <f>N(CHOOSE($B$196,East!J110,London!J110,'North West'!J110,'West Midlands'!J110,Northern!J110,Scotland!J110,Southern!J110,'Wales &amp; West'!J110))</f>
        <v>0</v>
      </c>
      <c r="K147" s="119">
        <f>N(CHOOSE($B$196,East!K110,London!K110,'North West'!K110,'West Midlands'!K110,Northern!K110,Scotland!K110,Southern!K110,'Wales &amp; West'!K110))</f>
        <v>0</v>
      </c>
      <c r="L147" s="119">
        <f>N(CHOOSE($B$196,East!L110,London!L110,'North West'!L110,'West Midlands'!L110,Northern!L110,Scotland!L110,Southern!L110,'Wales &amp; West'!L110))</f>
        <v>0</v>
      </c>
      <c r="M147" s="124"/>
      <c r="N147" s="124"/>
      <c r="O147" s="124"/>
      <c r="P147" s="124"/>
      <c r="Q147" s="124"/>
      <c r="R147" s="71"/>
    </row>
    <row r="148" spans="3:18" ht="14.25">
      <c r="C148" s="63" t="s">
        <v>649</v>
      </c>
      <c r="D148" s="124"/>
      <c r="E148" s="119">
        <f>N(CHOOSE($B$196,East!E111,London!E111,'North West'!E111,'West Midlands'!E111,Northern!E111,Scotland!E111,Southern!E111,'Wales &amp; West'!E111))</f>
        <v>4.164</v>
      </c>
      <c r="F148" s="119">
        <f>N(CHOOSE($B$196,East!F111,London!F111,'North West'!F111,'West Midlands'!F111,Northern!F111,Scotland!F111,Southern!F111,'Wales &amp; West'!F111))</f>
        <v>20.679</v>
      </c>
      <c r="G148" s="119">
        <f>N(CHOOSE($B$196,East!G111,London!G111,'North West'!G111,'West Midlands'!G111,Northern!G111,Scotland!G111,Southern!G111,'Wales &amp; West'!G111))</f>
        <v>28.783</v>
      </c>
      <c r="H148" s="119">
        <f>N(CHOOSE($B$196,East!H111,London!H111,'North West'!H111,'West Midlands'!H111,Northern!H111,Scotland!H111,Southern!H111,'Wales &amp; West'!H111))</f>
        <v>60.969</v>
      </c>
      <c r="I148" s="119">
        <f>N(CHOOSE($B$196,East!I111,London!I111,'North West'!I111,'West Midlands'!I111,Northern!I111,Scotland!I111,Southern!I111,'Wales &amp; West'!I111))</f>
        <v>59.748</v>
      </c>
      <c r="J148" s="119">
        <f>N(CHOOSE($B$196,East!J111,London!J111,'North West'!J111,'West Midlands'!J111,Northern!J111,Scotland!J111,Southern!J111,'Wales &amp; West'!J111))</f>
        <v>57.223</v>
      </c>
      <c r="K148" s="119">
        <f>N(CHOOSE($B$196,East!K111,London!K111,'North West'!K111,'West Midlands'!K111,Northern!K111,Scotland!K111,Southern!K111,'Wales &amp; West'!K111))</f>
        <v>60.297</v>
      </c>
      <c r="L148" s="119">
        <f>N(CHOOSE($B$196,East!L111,London!L111,'North West'!L111,'West Midlands'!L111,Northern!L111,Scotland!L111,Southern!L111,'Wales &amp; West'!L111))</f>
        <v>67.424</v>
      </c>
      <c r="M148" s="124"/>
      <c r="N148" s="124"/>
      <c r="O148" s="124"/>
      <c r="P148" s="124"/>
      <c r="Q148" s="124"/>
      <c r="R148" s="71"/>
    </row>
    <row r="149" spans="3:18" ht="14.25">
      <c r="C149" s="63" t="s">
        <v>638</v>
      </c>
      <c r="D149" s="124"/>
      <c r="E149" s="119">
        <f>N(CHOOSE($B$196,East!E112,London!E112,'North West'!E112,'West Midlands'!E112,Northern!E112,Scotland!E112,Southern!E112,'Wales &amp; West'!E112))</f>
        <v>0</v>
      </c>
      <c r="F149" s="119">
        <f>N(CHOOSE($B$196,East!F112,London!F112,'North West'!F112,'West Midlands'!F112,Northern!F112,Scotland!F112,Southern!F112,'Wales &amp; West'!F112))</f>
        <v>0</v>
      </c>
      <c r="G149" s="119">
        <f>N(CHOOSE($B$196,East!G112,London!G112,'North West'!G112,'West Midlands'!G112,Northern!G112,Scotland!G112,Southern!G112,'Wales &amp; West'!G112))</f>
        <v>0</v>
      </c>
      <c r="H149" s="119">
        <f>N(CHOOSE($B$196,East!H112,London!H112,'North West'!H112,'West Midlands'!H112,Northern!H112,Scotland!H112,Southern!H112,'Wales &amp; West'!H112))</f>
        <v>0</v>
      </c>
      <c r="I149" s="119">
        <f>N(CHOOSE($B$196,East!I112,London!I112,'North West'!I112,'West Midlands'!I112,Northern!I112,Scotland!I112,Southern!I112,'Wales &amp; West'!I112))</f>
        <v>0</v>
      </c>
      <c r="J149" s="119">
        <f>N(CHOOSE($B$196,East!J112,London!J112,'North West'!J112,'West Midlands'!J112,Northern!J112,Scotland!J112,Southern!J112,'Wales &amp; West'!J112))</f>
        <v>0</v>
      </c>
      <c r="K149" s="119">
        <f>N(CHOOSE($B$196,East!K112,London!K112,'North West'!K112,'West Midlands'!K112,Northern!K112,Scotland!K112,Southern!K112,'Wales &amp; West'!K112))</f>
        <v>0</v>
      </c>
      <c r="L149" s="119">
        <f>N(CHOOSE($B$196,East!L112,London!L112,'North West'!L112,'West Midlands'!L112,Northern!L112,Scotland!L112,Southern!L112,'Wales &amp; West'!L112))</f>
        <v>0</v>
      </c>
      <c r="M149" s="124"/>
      <c r="N149" s="124"/>
      <c r="O149" s="124"/>
      <c r="P149" s="124"/>
      <c r="Q149" s="124"/>
      <c r="R149" s="71"/>
    </row>
    <row r="150" spans="4:18" ht="14.25">
      <c r="D150" s="124"/>
      <c r="M150" s="71"/>
      <c r="N150" s="71"/>
      <c r="O150" s="71"/>
      <c r="P150" s="71"/>
      <c r="Q150" s="71"/>
      <c r="R150" s="71"/>
    </row>
    <row r="151" spans="3:18" ht="14.25">
      <c r="C151" s="63" t="s">
        <v>639</v>
      </c>
      <c r="D151" s="124"/>
      <c r="E151" s="119">
        <f>N(CHOOSE($B$196,East!E114,London!E114,'North West'!E114,'West Midlands'!E114,Northern!E114,Scotland!E114,Southern!E114,'Wales &amp; West'!E114))</f>
        <v>0</v>
      </c>
      <c r="F151" s="119">
        <f>N(CHOOSE($B$196,East!F114,London!F114,'North West'!F114,'West Midlands'!F114,Northern!F114,Scotland!F114,Southern!F114,'Wales &amp; West'!F114))</f>
        <v>0</v>
      </c>
      <c r="G151" s="119">
        <f>N(CHOOSE($B$196,East!G114,London!G114,'North West'!G114,'West Midlands'!G114,Northern!G114,Scotland!G114,Southern!G114,'Wales &amp; West'!G114))</f>
        <v>0</v>
      </c>
      <c r="H151" s="119">
        <f>N(CHOOSE($B$196,East!H114,London!H114,'North West'!H114,'West Midlands'!H114,Northern!H114,Scotland!H114,Southern!H114,'Wales &amp; West'!H114))</f>
        <v>0</v>
      </c>
      <c r="I151" s="119">
        <f>N(CHOOSE($B$196,East!I114,London!I114,'North West'!I114,'West Midlands'!I114,Northern!I114,Scotland!I114,Southern!I114,'Wales &amp; West'!I114))</f>
        <v>0</v>
      </c>
      <c r="J151" s="119">
        <f>N(CHOOSE($B$196,East!J114,London!J114,'North West'!J114,'West Midlands'!J114,Northern!J114,Scotland!J114,Southern!J114,'Wales &amp; West'!J114))</f>
        <v>0</v>
      </c>
      <c r="K151" s="119">
        <f>N(CHOOSE($B$196,East!K114,London!K114,'North West'!K114,'West Midlands'!K114,Northern!K114,Scotland!K114,Southern!K114,'Wales &amp; West'!K114))</f>
        <v>0</v>
      </c>
      <c r="L151" s="119">
        <f>N(CHOOSE($B$196,East!L114,London!L114,'North West'!L114,'West Midlands'!L114,Northern!L114,Scotland!L114,Southern!L114,'Wales &amp; West'!L114))</f>
        <v>0</v>
      </c>
      <c r="M151" s="124"/>
      <c r="N151" s="124"/>
      <c r="O151" s="124"/>
      <c r="P151" s="124"/>
      <c r="Q151" s="124"/>
      <c r="R151" s="71"/>
    </row>
    <row r="152" spans="3:18" ht="14.25">
      <c r="C152" s="63" t="s">
        <v>640</v>
      </c>
      <c r="D152" s="124"/>
      <c r="E152" s="119">
        <f>N(CHOOSE($B$196,East!E115,London!E115,'North West'!E115,'West Midlands'!E115,Northern!E115,Scotland!E115,Southern!E115,'Wales &amp; West'!E115))</f>
        <v>0</v>
      </c>
      <c r="F152" s="119">
        <f>N(CHOOSE($B$196,East!F115,London!F115,'North West'!F115,'West Midlands'!F115,Northern!F115,Scotland!F115,Southern!F115,'Wales &amp; West'!F115))</f>
        <v>0</v>
      </c>
      <c r="G152" s="119">
        <f>N(CHOOSE($B$196,East!G115,London!G115,'North West'!G115,'West Midlands'!G115,Northern!G115,Scotland!G115,Southern!G115,'Wales &amp; West'!G115))</f>
        <v>0</v>
      </c>
      <c r="H152" s="119">
        <f>N(CHOOSE($B$196,East!H115,London!H115,'North West'!H115,'West Midlands'!H115,Northern!H115,Scotland!H115,Southern!H115,'Wales &amp; West'!H115))</f>
        <v>0</v>
      </c>
      <c r="I152" s="119">
        <f>N(CHOOSE($B$196,East!I115,London!I115,'North West'!I115,'West Midlands'!I115,Northern!I115,Scotland!I115,Southern!I115,'Wales &amp; West'!I115))</f>
        <v>0</v>
      </c>
      <c r="J152" s="119">
        <f>N(CHOOSE($B$196,East!J115,London!J115,'North West'!J115,'West Midlands'!J115,Northern!J115,Scotland!J115,Southern!J115,'Wales &amp; West'!J115))</f>
        <v>0</v>
      </c>
      <c r="K152" s="119">
        <f>N(CHOOSE($B$196,East!K115,London!K115,'North West'!K115,'West Midlands'!K115,Northern!K115,Scotland!K115,Southern!K115,'Wales &amp; West'!K115))</f>
        <v>0</v>
      </c>
      <c r="L152" s="119">
        <f>N(CHOOSE($B$196,East!L115,London!L115,'North West'!L115,'West Midlands'!L115,Northern!L115,Scotland!L115,Southern!L115,'Wales &amp; West'!L115))</f>
        <v>0</v>
      </c>
      <c r="M152" s="124"/>
      <c r="N152" s="124"/>
      <c r="O152" s="124"/>
      <c r="P152" s="124"/>
      <c r="Q152" s="124"/>
      <c r="R152" s="71"/>
    </row>
    <row r="153" spans="3:18" ht="14.25">
      <c r="C153" s="63" t="s">
        <v>641</v>
      </c>
      <c r="D153" s="124"/>
      <c r="E153" s="119">
        <f>N(CHOOSE($B$196,East!E116,London!E116,'North West'!E116,'West Midlands'!E116,Northern!E116,Scotland!E116,Southern!E116,'Wales &amp; West'!E116))</f>
        <v>-69.102</v>
      </c>
      <c r="F153" s="119">
        <f>N(CHOOSE($B$196,East!F116,London!F116,'North West'!F116,'West Midlands'!F116,Northern!F116,Scotland!F116,Southern!F116,'Wales &amp; West'!F116))</f>
        <v>-101.66</v>
      </c>
      <c r="G153" s="119">
        <f>N(CHOOSE($B$196,East!G116,London!G116,'North West'!G116,'West Midlands'!G116,Northern!G116,Scotland!G116,Southern!G116,'Wales &amp; West'!G116))</f>
        <v>-111.864</v>
      </c>
      <c r="H153" s="119">
        <f>N(CHOOSE($B$196,East!H116,London!H116,'North West'!H116,'West Midlands'!H116,Northern!H116,Scotland!H116,Southern!H116,'Wales &amp; West'!H116))</f>
        <v>-119.515</v>
      </c>
      <c r="I153" s="119">
        <f>N(CHOOSE($B$196,East!I116,London!I116,'North West'!I116,'West Midlands'!I116,Northern!I116,Scotland!I116,Southern!I116,'Wales &amp; West'!I116))</f>
        <v>-145.074</v>
      </c>
      <c r="J153" s="119">
        <f>N(CHOOSE($B$196,East!J116,London!J116,'North West'!J116,'West Midlands'!J116,Northern!J116,Scotland!J116,Southern!J116,'Wales &amp; West'!J116))</f>
        <v>-152.168</v>
      </c>
      <c r="K153" s="119">
        <f>N(CHOOSE($B$196,East!K116,London!K116,'North West'!K116,'West Midlands'!K116,Northern!K116,Scotland!K116,Southern!K116,'Wales &amp; West'!K116))</f>
        <v>-163.337</v>
      </c>
      <c r="L153" s="119">
        <f>N(CHOOSE($B$196,East!L116,London!L116,'North West'!L116,'West Midlands'!L116,Northern!L116,Scotland!L116,Southern!L116,'Wales &amp; West'!L116))</f>
        <v>-177.767</v>
      </c>
      <c r="M153" s="124"/>
      <c r="N153" s="124"/>
      <c r="O153" s="124"/>
      <c r="P153" s="124"/>
      <c r="Q153" s="124"/>
      <c r="R153" s="71"/>
    </row>
    <row r="154" spans="4:18" ht="14.25">
      <c r="D154" s="124"/>
      <c r="M154" s="71"/>
      <c r="N154" s="71"/>
      <c r="O154" s="71"/>
      <c r="P154" s="71"/>
      <c r="Q154" s="71"/>
      <c r="R154" s="71"/>
    </row>
    <row r="155" spans="3:18" ht="14.25">
      <c r="C155" s="63" t="s">
        <v>650</v>
      </c>
      <c r="D155" s="124"/>
      <c r="E155" s="119">
        <f>N(CHOOSE($B$196,East!E118,London!E118,'North West'!E118,'West Midlands'!E118,Northern!E118,Scotland!E118,Southern!E118,'Wales &amp; West'!E118))</f>
        <v>-874.91</v>
      </c>
      <c r="F155" s="119">
        <f>N(CHOOSE($B$196,East!F118,London!F118,'North West'!F118,'West Midlands'!F118,Northern!F118,Scotland!F118,Southern!F118,'Wales &amp; West'!F118))</f>
        <v>-924.48</v>
      </c>
      <c r="G155" s="119">
        <f>N(CHOOSE($B$196,East!G118,London!G118,'North West'!G118,'West Midlands'!G118,Northern!G118,Scotland!G118,Southern!G118,'Wales &amp; West'!G118))</f>
        <v>-980.601</v>
      </c>
      <c r="H155" s="119">
        <f>N(CHOOSE($B$196,East!H118,London!H118,'North West'!H118,'West Midlands'!H118,Northern!H118,Scotland!H118,Southern!H118,'Wales &amp; West'!H118))</f>
        <v>-1080.305</v>
      </c>
      <c r="I155" s="119">
        <f>N(CHOOSE($B$196,East!I118,London!I118,'North West'!I118,'West Midlands'!I118,Northern!I118,Scotland!I118,Southern!I118,'Wales &amp; West'!I118))</f>
        <v>-1153.527</v>
      </c>
      <c r="J155" s="119">
        <f>N(CHOOSE($B$196,East!J118,London!J118,'North West'!J118,'West Midlands'!J118,Northern!J118,Scotland!J118,Southern!J118,'Wales &amp; West'!J118))</f>
        <v>-1206.925</v>
      </c>
      <c r="K155" s="119">
        <f>N(CHOOSE($B$196,East!K118,London!K118,'North West'!K118,'West Midlands'!K118,Northern!K118,Scotland!K118,Southern!K118,'Wales &amp; West'!K118))</f>
        <v>-1251.043</v>
      </c>
      <c r="L155" s="119">
        <f>N(CHOOSE($B$196,East!L118,London!L118,'North West'!L118,'West Midlands'!L118,Northern!L118,Scotland!L118,Southern!L118,'Wales &amp; West'!L118))</f>
        <v>-1293.802</v>
      </c>
      <c r="M155" s="124"/>
      <c r="N155" s="124"/>
      <c r="O155" s="124"/>
      <c r="P155" s="124"/>
      <c r="Q155" s="124"/>
      <c r="R155" s="71"/>
    </row>
    <row r="156" spans="3:18" ht="14.25">
      <c r="C156" s="63" t="s">
        <v>651</v>
      </c>
      <c r="D156" s="124"/>
      <c r="E156" s="119">
        <f>N(CHOOSE($B$196,East!E119,London!E119,'North West'!E119,'West Midlands'!E119,Northern!E119,Scotland!E119,Southern!E119,'Wales &amp; West'!E119))</f>
        <v>-325.754</v>
      </c>
      <c r="F156" s="119">
        <f>N(CHOOSE($B$196,East!F119,London!F119,'North West'!F119,'West Midlands'!F119,Northern!F119,Scotland!F119,Southern!F119,'Wales &amp; West'!F119))</f>
        <v>-381.552</v>
      </c>
      <c r="G156" s="119">
        <f>N(CHOOSE($B$196,East!G119,London!G119,'North West'!G119,'West Midlands'!G119,Northern!G119,Scotland!G119,Southern!G119,'Wales &amp; West'!G119))</f>
        <v>-438.771</v>
      </c>
      <c r="H156" s="119">
        <f>N(CHOOSE($B$196,East!H119,London!H119,'North West'!H119,'West Midlands'!H119,Northern!H119,Scotland!H119,Southern!H119,'Wales &amp; West'!H119))</f>
        <v>-493.363</v>
      </c>
      <c r="I156" s="119">
        <f>N(CHOOSE($B$196,East!I119,London!I119,'North West'!I119,'West Midlands'!I119,Northern!I119,Scotland!I119,Southern!I119,'Wales &amp; West'!I119))</f>
        <v>-562.504</v>
      </c>
      <c r="J156" s="119">
        <f>N(CHOOSE($B$196,East!J119,London!J119,'North West'!J119,'West Midlands'!J119,Northern!J119,Scotland!J119,Southern!J119,'Wales &amp; West'!J119))</f>
        <v>-649.154</v>
      </c>
      <c r="K156" s="119">
        <f>N(CHOOSE($B$196,East!K119,London!K119,'North West'!K119,'West Midlands'!K119,Northern!K119,Scotland!K119,Southern!K119,'Wales &amp; West'!K119))</f>
        <v>-748.257</v>
      </c>
      <c r="L156" s="119">
        <f>N(CHOOSE($B$196,East!L119,London!L119,'North West'!L119,'West Midlands'!L119,Northern!L119,Scotland!L119,Southern!L119,'Wales &amp; West'!L119))</f>
        <v>-859.209</v>
      </c>
      <c r="M156" s="124"/>
      <c r="N156" s="124"/>
      <c r="O156" s="124"/>
      <c r="P156" s="124"/>
      <c r="Q156" s="124"/>
      <c r="R156" s="71"/>
    </row>
    <row r="157" spans="3:18" ht="14.25">
      <c r="C157" s="63" t="s">
        <v>642</v>
      </c>
      <c r="D157" s="124"/>
      <c r="E157" s="119">
        <f>N(CHOOSE($B$196,East!E120,London!E120,'North West'!E120,'West Midlands'!E120,Northern!E120,Scotland!E120,Southern!E120,'Wales &amp; West'!E120))</f>
        <v>0</v>
      </c>
      <c r="F157" s="119">
        <f>N(CHOOSE($B$196,East!F120,London!F120,'North West'!F120,'West Midlands'!F120,Northern!F120,Scotland!F120,Southern!F120,'Wales &amp; West'!F120))</f>
        <v>0</v>
      </c>
      <c r="G157" s="119">
        <f>N(CHOOSE($B$196,East!G120,London!G120,'North West'!G120,'West Midlands'!G120,Northern!G120,Scotland!G120,Southern!G120,'Wales &amp; West'!G120))</f>
        <v>0</v>
      </c>
      <c r="H157" s="119">
        <f>N(CHOOSE($B$196,East!H120,London!H120,'North West'!H120,'West Midlands'!H120,Northern!H120,Scotland!H120,Southern!H120,'Wales &amp; West'!H120))</f>
        <v>0</v>
      </c>
      <c r="I157" s="119">
        <f>N(CHOOSE($B$196,East!I120,London!I120,'North West'!I120,'West Midlands'!I120,Northern!I120,Scotland!I120,Southern!I120,'Wales &amp; West'!I120))</f>
        <v>0</v>
      </c>
      <c r="J157" s="119">
        <f>N(CHOOSE($B$196,East!J120,London!J120,'North West'!J120,'West Midlands'!J120,Northern!J120,Scotland!J120,Southern!J120,'Wales &amp; West'!J120))</f>
        <v>0</v>
      </c>
      <c r="K157" s="119">
        <f>N(CHOOSE($B$196,East!K120,London!K120,'North West'!K120,'West Midlands'!K120,Northern!K120,Scotland!K120,Southern!K120,'Wales &amp; West'!K120))</f>
        <v>0</v>
      </c>
      <c r="L157" s="119">
        <f>N(CHOOSE($B$196,East!L120,London!L120,'North West'!L120,'West Midlands'!L120,Northern!L120,Scotland!L120,Southern!L120,'Wales &amp; West'!L120))</f>
        <v>0</v>
      </c>
      <c r="M157" s="124"/>
      <c r="N157" s="124"/>
      <c r="O157" s="124"/>
      <c r="P157" s="124"/>
      <c r="Q157" s="124"/>
      <c r="R157" s="71"/>
    </row>
    <row r="158" spans="3:18" ht="14.25">
      <c r="C158" s="63" t="s">
        <v>788</v>
      </c>
      <c r="D158" s="124"/>
      <c r="E158" s="119">
        <f>N(CHOOSE($B$196,East!E121,London!E121,'North West'!E121,'West Midlands'!E121,Northern!E121,Scotland!E121,Southern!E121,'Wales &amp; West'!E121))</f>
        <v>0</v>
      </c>
      <c r="F158" s="119">
        <f>N(CHOOSE($B$196,East!F121,London!F121,'North West'!F121,'West Midlands'!F121,Northern!F121,Scotland!F121,Southern!F121,'Wales &amp; West'!F121))</f>
        <v>0</v>
      </c>
      <c r="G158" s="119">
        <f>N(CHOOSE($B$196,East!G121,London!G121,'North West'!G121,'West Midlands'!G121,Northern!G121,Scotland!G121,Southern!G121,'Wales &amp; West'!G121))</f>
        <v>0</v>
      </c>
      <c r="H158" s="119">
        <f>N(CHOOSE($B$196,East!H121,London!H121,'North West'!H121,'West Midlands'!H121,Northern!H121,Scotland!H121,Southern!H121,'Wales &amp; West'!H121))</f>
        <v>0</v>
      </c>
      <c r="I158" s="119">
        <f>N(CHOOSE($B$196,East!I121,London!I121,'North West'!I121,'West Midlands'!I121,Northern!I121,Scotland!I121,Southern!I121,'Wales &amp; West'!I121))</f>
        <v>0</v>
      </c>
      <c r="J158" s="119">
        <f>N(CHOOSE($B$196,East!J121,London!J121,'North West'!J121,'West Midlands'!J121,Northern!J121,Scotland!J121,Southern!J121,'Wales &amp; West'!J121))</f>
        <v>0</v>
      </c>
      <c r="K158" s="119">
        <f>N(CHOOSE($B$196,East!K121,London!K121,'North West'!K121,'West Midlands'!K121,Northern!K121,Scotland!K121,Southern!K121,'Wales &amp; West'!K121))</f>
        <v>0</v>
      </c>
      <c r="L158" s="119">
        <f>N(CHOOSE($B$196,East!L121,London!L121,'North West'!L121,'West Midlands'!L121,Northern!L121,Scotland!L121,Southern!L121,'Wales &amp; West'!L121))</f>
        <v>0</v>
      </c>
      <c r="M158" s="124"/>
      <c r="N158" s="124"/>
      <c r="O158" s="124"/>
      <c r="P158" s="124"/>
      <c r="Q158" s="124"/>
      <c r="R158" s="71"/>
    </row>
    <row r="159" spans="3:18" ht="14.25">
      <c r="C159" s="63" t="s">
        <v>69</v>
      </c>
      <c r="D159" s="124"/>
      <c r="E159" s="119">
        <f>N(CHOOSE($B$196,East!E122,London!E122,'North West'!E122,'West Midlands'!E122,Northern!E122,Scotland!E122,Southern!E122,'Wales &amp; West'!E122))</f>
        <v>0</v>
      </c>
      <c r="F159" s="119">
        <f>N(CHOOSE($B$196,East!F122,London!F122,'North West'!F122,'West Midlands'!F122,Northern!F122,Scotland!F122,Southern!F122,'Wales &amp; West'!F122))</f>
        <v>0</v>
      </c>
      <c r="G159" s="119">
        <f>N(CHOOSE($B$196,East!G122,London!G122,'North West'!G122,'West Midlands'!G122,Northern!G122,Scotland!G122,Southern!G122,'Wales &amp; West'!G122))</f>
        <v>0</v>
      </c>
      <c r="H159" s="119">
        <f>N(CHOOSE($B$196,East!H122,London!H122,'North West'!H122,'West Midlands'!H122,Northern!H122,Scotland!H122,Southern!H122,'Wales &amp; West'!H122))</f>
        <v>0</v>
      </c>
      <c r="I159" s="119">
        <f>N(CHOOSE($B$196,East!I122,London!I122,'North West'!I122,'West Midlands'!I122,Northern!I122,Scotland!I122,Southern!I122,'Wales &amp; West'!I122))</f>
        <v>0</v>
      </c>
      <c r="J159" s="119">
        <f>N(CHOOSE($B$196,East!J122,London!J122,'North West'!J122,'West Midlands'!J122,Northern!J122,Scotland!J122,Southern!J122,'Wales &amp; West'!J122))</f>
        <v>0</v>
      </c>
      <c r="K159" s="119">
        <f>N(CHOOSE($B$196,East!K122,London!K122,'North West'!K122,'West Midlands'!K122,Northern!K122,Scotland!K122,Southern!K122,'Wales &amp; West'!K122))</f>
        <v>0</v>
      </c>
      <c r="L159" s="119">
        <f>N(CHOOSE($B$196,East!L122,London!L122,'North West'!L122,'West Midlands'!L122,Northern!L122,Scotland!L122,Southern!L122,'Wales &amp; West'!L122))</f>
        <v>0</v>
      </c>
      <c r="M159" s="124"/>
      <c r="N159" s="124"/>
      <c r="O159" s="124"/>
      <c r="P159" s="124"/>
      <c r="Q159" s="124"/>
      <c r="R159" s="71"/>
    </row>
    <row r="160" spans="3:18" ht="14.25">
      <c r="C160" s="63" t="s">
        <v>652</v>
      </c>
      <c r="D160" s="124"/>
      <c r="E160" s="119">
        <f>N(CHOOSE($B$196,East!E123,London!E123,'North West'!E123,'West Midlands'!E123,Northern!E123,Scotland!E123,Southern!E123,'Wales &amp; West'!E123))</f>
        <v>-14.63</v>
      </c>
      <c r="F160" s="119">
        <f>N(CHOOSE($B$196,East!F123,London!F123,'North West'!F123,'West Midlands'!F123,Northern!F123,Scotland!F123,Southern!F123,'Wales &amp; West'!F123))</f>
        <v>-17.421</v>
      </c>
      <c r="G160" s="119">
        <f>N(CHOOSE($B$196,East!G123,London!G123,'North West'!G123,'West Midlands'!G123,Northern!G123,Scotland!G123,Southern!G123,'Wales &amp; West'!G123))</f>
        <v>-17.421</v>
      </c>
      <c r="H160" s="119">
        <f>N(CHOOSE($B$196,East!H123,London!H123,'North West'!H123,'West Midlands'!H123,Northern!H123,Scotland!H123,Southern!H123,'Wales &amp; West'!H123))</f>
        <v>-17.421</v>
      </c>
      <c r="I160" s="119">
        <f>N(CHOOSE($B$196,East!I123,London!I123,'North West'!I123,'West Midlands'!I123,Northern!I123,Scotland!I123,Southern!I123,'Wales &amp; West'!I123))</f>
        <v>-17.421</v>
      </c>
      <c r="J160" s="119">
        <f>N(CHOOSE($B$196,East!J123,London!J123,'North West'!J123,'West Midlands'!J123,Northern!J123,Scotland!J123,Southern!J123,'Wales &amp; West'!J123))</f>
        <v>-17.421</v>
      </c>
      <c r="K160" s="119">
        <f>N(CHOOSE($B$196,East!K123,London!K123,'North West'!K123,'West Midlands'!K123,Northern!K123,Scotland!K123,Southern!K123,'Wales &amp; West'!K123))</f>
        <v>-17.421</v>
      </c>
      <c r="L160" s="119">
        <f>N(CHOOSE($B$196,East!L123,London!L123,'North West'!L123,'West Midlands'!L123,Northern!L123,Scotland!L123,Southern!L123,'Wales &amp; West'!L123))</f>
        <v>-17.421</v>
      </c>
      <c r="M160" s="124"/>
      <c r="N160" s="124"/>
      <c r="O160" s="124"/>
      <c r="P160" s="124"/>
      <c r="Q160" s="124"/>
      <c r="R160" s="71"/>
    </row>
    <row r="161" spans="3:18" ht="14.25">
      <c r="C161" s="63" t="s">
        <v>643</v>
      </c>
      <c r="D161" s="124"/>
      <c r="E161" s="119">
        <f>N(CHOOSE($B$196,East!E124,London!E124,'North West'!E124,'West Midlands'!E124,Northern!E124,Scotland!E124,Southern!E124,'Wales &amp; West'!E124))</f>
        <v>-19.405</v>
      </c>
      <c r="F161" s="119">
        <f>N(CHOOSE($B$196,East!F124,London!F124,'North West'!F124,'West Midlands'!F124,Northern!F124,Scotland!F124,Southern!F124,'Wales &amp; West'!F124))</f>
        <v>-26.429</v>
      </c>
      <c r="G161" s="119">
        <f>N(CHOOSE($B$196,East!G124,London!G124,'North West'!G124,'West Midlands'!G124,Northern!G124,Scotland!G124,Southern!G124,'Wales &amp; West'!G124))</f>
        <v>-28.544</v>
      </c>
      <c r="H161" s="119">
        <f>N(CHOOSE($B$196,East!H124,London!H124,'North West'!H124,'West Midlands'!H124,Northern!H124,Scotland!H124,Southern!H124,'Wales &amp; West'!H124))</f>
        <v>-30.827</v>
      </c>
      <c r="I161" s="119">
        <f>N(CHOOSE($B$196,East!I124,London!I124,'North West'!I124,'West Midlands'!I124,Northern!I124,Scotland!I124,Southern!I124,'Wales &amp; West'!I124))</f>
        <v>-33.293</v>
      </c>
      <c r="J161" s="119">
        <f>N(CHOOSE($B$196,East!J124,London!J124,'North West'!J124,'West Midlands'!J124,Northern!J124,Scotland!J124,Southern!J124,'Wales &amp; West'!J124))</f>
        <v>-35.957</v>
      </c>
      <c r="K161" s="119">
        <f>N(CHOOSE($B$196,East!K124,London!K124,'North West'!K124,'West Midlands'!K124,Northern!K124,Scotland!K124,Southern!K124,'Wales &amp; West'!K124))</f>
        <v>-38.833</v>
      </c>
      <c r="L161" s="119">
        <f>N(CHOOSE($B$196,East!L124,London!L124,'North West'!L124,'West Midlands'!L124,Northern!L124,Scotland!L124,Southern!L124,'Wales &amp; West'!L124))</f>
        <v>-41.94</v>
      </c>
      <c r="M161" s="124"/>
      <c r="N161" s="124"/>
      <c r="O161" s="124"/>
      <c r="P161" s="124"/>
      <c r="Q161" s="124"/>
      <c r="R161" s="71"/>
    </row>
    <row r="162" spans="3:18" ht="14.25">
      <c r="C162" s="63" t="s">
        <v>653</v>
      </c>
      <c r="D162" s="124"/>
      <c r="E162" s="119">
        <f>N(CHOOSE($B$196,East!E125,London!E125,'North West'!E125,'West Midlands'!E125,Northern!E125,Scotland!E125,Southern!E125,'Wales &amp; West'!E125))</f>
        <v>-0.162</v>
      </c>
      <c r="F162" s="119">
        <f>N(CHOOSE($B$196,East!F125,London!F125,'North West'!F125,'West Midlands'!F125,Northern!F125,Scotland!F125,Southern!F125,'Wales &amp; West'!F125))</f>
        <v>0</v>
      </c>
      <c r="G162" s="119">
        <f>N(CHOOSE($B$196,East!G125,London!G125,'North West'!G125,'West Midlands'!G125,Northern!G125,Scotland!G125,Southern!G125,'Wales &amp; West'!G125))</f>
        <v>0</v>
      </c>
      <c r="H162" s="119">
        <f>N(CHOOSE($B$196,East!H125,London!H125,'North West'!H125,'West Midlands'!H125,Northern!H125,Scotland!H125,Southern!H125,'Wales &amp; West'!H125))</f>
        <v>0</v>
      </c>
      <c r="I162" s="119">
        <f>N(CHOOSE($B$196,East!I125,London!I125,'North West'!I125,'West Midlands'!I125,Northern!I125,Scotland!I125,Southern!I125,'Wales &amp; West'!I125))</f>
        <v>0</v>
      </c>
      <c r="J162" s="119">
        <f>N(CHOOSE($B$196,East!J125,London!J125,'North West'!J125,'West Midlands'!J125,Northern!J125,Scotland!J125,Southern!J125,'Wales &amp; West'!J125))</f>
        <v>0</v>
      </c>
      <c r="K162" s="119">
        <f>N(CHOOSE($B$196,East!K125,London!K125,'North West'!K125,'West Midlands'!K125,Northern!K125,Scotland!K125,Southern!K125,'Wales &amp; West'!K125))</f>
        <v>0</v>
      </c>
      <c r="L162" s="119">
        <f>N(CHOOSE($B$196,East!L125,London!L125,'North West'!L125,'West Midlands'!L125,Northern!L125,Scotland!L125,Southern!L125,'Wales &amp; West'!L125))</f>
        <v>0</v>
      </c>
      <c r="M162" s="124"/>
      <c r="N162" s="124"/>
      <c r="O162" s="124"/>
      <c r="P162" s="124"/>
      <c r="Q162" s="124"/>
      <c r="R162" s="71"/>
    </row>
    <row r="163" spans="3:18" ht="14.25">
      <c r="C163" s="63" t="s">
        <v>117</v>
      </c>
      <c r="D163" s="124"/>
      <c r="E163" s="119">
        <f>N(CHOOSE($B$196,East!E126,London!E126,'North West'!E126,'West Midlands'!E126,Northern!E126,Scotland!E126,Southern!E126,'Wales &amp; West'!E126))</f>
        <v>-52.404</v>
      </c>
      <c r="F163" s="119">
        <f>N(CHOOSE($B$196,East!F126,London!F126,'North West'!F126,'West Midlands'!F126,Northern!F126,Scotland!F126,Southern!F126,'Wales &amp; West'!F126))</f>
        <v>-39.979</v>
      </c>
      <c r="G163" s="119">
        <f>N(CHOOSE($B$196,East!G126,London!G126,'North West'!G126,'West Midlands'!G126,Northern!G126,Scotland!G126,Southern!G126,'Wales &amp; West'!G126))</f>
        <v>-34.021</v>
      </c>
      <c r="H163" s="119">
        <f>N(CHOOSE($B$196,East!H126,London!H126,'North West'!H126,'West Midlands'!H126,Northern!H126,Scotland!H126,Southern!H126,'Wales &amp; West'!H126))</f>
        <v>-28.081999999999997</v>
      </c>
      <c r="I163" s="119">
        <f>N(CHOOSE($B$196,East!I126,London!I126,'North West'!I126,'West Midlands'!I126,Northern!I126,Scotland!I126,Southern!I126,'Wales &amp; West'!I126))</f>
        <v>-22.142999999999997</v>
      </c>
      <c r="J163" s="119">
        <f>N(CHOOSE($B$196,East!J126,London!J126,'North West'!J126,'West Midlands'!J126,Northern!J126,Scotland!J126,Southern!J126,'Wales &amp; West'!J126))</f>
        <v>-16.203</v>
      </c>
      <c r="K163" s="119">
        <f>N(CHOOSE($B$196,East!K126,London!K126,'North West'!K126,'West Midlands'!K126,Northern!K126,Scotland!K126,Southern!K126,'Wales &amp; West'!K126))</f>
        <v>-10.249</v>
      </c>
      <c r="L163" s="119">
        <f>N(CHOOSE($B$196,East!L126,London!L126,'North West'!L126,'West Midlands'!L126,Northern!L126,Scotland!L126,Southern!L126,'Wales &amp; West'!L126))</f>
        <v>-4.358</v>
      </c>
      <c r="M163" s="124"/>
      <c r="N163" s="124"/>
      <c r="O163" s="124"/>
      <c r="P163" s="124"/>
      <c r="Q163" s="124"/>
      <c r="R163" s="71"/>
    </row>
    <row r="164" spans="4:18" ht="14.25">
      <c r="D164" s="124"/>
      <c r="M164" s="71"/>
      <c r="N164" s="71"/>
      <c r="O164" s="71"/>
      <c r="P164" s="71"/>
      <c r="Q164" s="71"/>
      <c r="R164" s="71"/>
    </row>
    <row r="165" spans="3:18" ht="14.25">
      <c r="C165" s="63" t="s">
        <v>654</v>
      </c>
      <c r="D165" s="124"/>
      <c r="E165" s="119">
        <f>N(CHOOSE($B$196,East!E128,London!E128,'North West'!E128,'West Midlands'!E128,Northern!E128,Scotland!E128,Southern!E128,'Wales &amp; West'!E128))</f>
        <v>30.675</v>
      </c>
      <c r="F165" s="119">
        <f>N(CHOOSE($B$196,East!F128,London!F128,'North West'!F128,'West Midlands'!F128,Northern!F128,Scotland!F128,Southern!F128,'Wales &amp; West'!F128))</f>
        <v>30.675</v>
      </c>
      <c r="G165" s="119">
        <f>N(CHOOSE($B$196,East!G128,London!G128,'North West'!G128,'West Midlands'!G128,Northern!G128,Scotland!G128,Southern!G128,'Wales &amp; West'!G128))</f>
        <v>30.675</v>
      </c>
      <c r="H165" s="119">
        <f>N(CHOOSE($B$196,East!H128,London!H128,'North West'!H128,'West Midlands'!H128,Northern!H128,Scotland!H128,Southern!H128,'Wales &amp; West'!H128))</f>
        <v>30.675</v>
      </c>
      <c r="I165" s="119">
        <f>N(CHOOSE($B$196,East!I128,London!I128,'North West'!I128,'West Midlands'!I128,Northern!I128,Scotland!I128,Southern!I128,'Wales &amp; West'!I128))</f>
        <v>30.675</v>
      </c>
      <c r="J165" s="119">
        <f>N(CHOOSE($B$196,East!J128,London!J128,'North West'!J128,'West Midlands'!J128,Northern!J128,Scotland!J128,Southern!J128,'Wales &amp; West'!J128))</f>
        <v>30.675</v>
      </c>
      <c r="K165" s="119">
        <f>N(CHOOSE($B$196,East!K128,London!K128,'North West'!K128,'West Midlands'!K128,Northern!K128,Scotland!K128,Southern!K128,'Wales &amp; West'!K128))</f>
        <v>30.675</v>
      </c>
      <c r="L165" s="119">
        <f>N(CHOOSE($B$196,East!L128,London!L128,'North West'!L128,'West Midlands'!L128,Northern!L128,Scotland!L128,Southern!L128,'Wales &amp; West'!L128))</f>
        <v>30.675</v>
      </c>
      <c r="M165" s="124"/>
      <c r="N165" s="124"/>
      <c r="O165" s="124"/>
      <c r="P165" s="124"/>
      <c r="Q165" s="124"/>
      <c r="R165" s="71"/>
    </row>
    <row r="166" spans="3:18" ht="14.25">
      <c r="C166" s="63" t="s">
        <v>96</v>
      </c>
      <c r="D166" s="124"/>
      <c r="E166" s="119">
        <f>N(CHOOSE($B$196,East!E129,London!E129,'North West'!E129,'West Midlands'!E129,Northern!E129,Scotland!E129,Southern!E129,'Wales &amp; West'!E129))</f>
        <v>-90.053</v>
      </c>
      <c r="F166" s="119">
        <f>N(CHOOSE($B$196,East!F129,London!F129,'North West'!F129,'West Midlands'!F129,Northern!F129,Scotland!F129,Southern!F129,'Wales &amp; West'!F129))</f>
        <v>-177.838</v>
      </c>
      <c r="G166" s="119">
        <f>N(CHOOSE($B$196,East!G129,London!G129,'North West'!G129,'West Midlands'!G129,Northern!G129,Scotland!G129,Southern!G129,'Wales &amp; West'!G129))</f>
        <v>-255.052</v>
      </c>
      <c r="H166" s="119">
        <f>N(CHOOSE($B$196,East!H129,London!H129,'North West'!H129,'West Midlands'!H129,Northern!H129,Scotland!H129,Southern!H129,'Wales &amp; West'!H129))</f>
        <v>-336.784</v>
      </c>
      <c r="I166" s="119">
        <f>N(CHOOSE($B$196,East!I129,London!I129,'North West'!I129,'West Midlands'!I129,Northern!I129,Scotland!I129,Southern!I129,'Wales &amp; West'!I129))</f>
        <v>-426.85</v>
      </c>
      <c r="J166" s="119">
        <f>N(CHOOSE($B$196,East!J129,London!J129,'North West'!J129,'West Midlands'!J129,Northern!J129,Scotland!J129,Southern!J129,'Wales &amp; West'!J129))</f>
        <v>-524.521</v>
      </c>
      <c r="K166" s="119">
        <f>N(CHOOSE($B$196,East!K129,London!K129,'North West'!K129,'West Midlands'!K129,Northern!K129,Scotland!K129,Southern!K129,'Wales &amp; West'!K129))</f>
        <v>-628.353</v>
      </c>
      <c r="L166" s="119">
        <f>N(CHOOSE($B$196,East!L129,London!L129,'North West'!L129,'West Midlands'!L129,Northern!L129,Scotland!L129,Southern!L129,'Wales &amp; West'!L129))</f>
        <v>-741.112</v>
      </c>
      <c r="M166" s="124"/>
      <c r="N166" s="124"/>
      <c r="O166" s="124"/>
      <c r="P166" s="124"/>
      <c r="Q166" s="124"/>
      <c r="R166" s="71"/>
    </row>
    <row r="167" spans="3:18" ht="14.25">
      <c r="C167" s="63" t="s">
        <v>645</v>
      </c>
      <c r="D167" s="124"/>
      <c r="E167" s="119">
        <f>N(CHOOSE($B$196,East!E130,London!E130,'North West'!E130,'West Midlands'!E130,Northern!E130,Scotland!E130,Southern!E130,'Wales &amp; West'!E130))</f>
        <v>0</v>
      </c>
      <c r="F167" s="119">
        <f>N(CHOOSE($B$196,East!F130,London!F130,'North West'!F130,'West Midlands'!F130,Northern!F130,Scotland!F130,Southern!F130,'Wales &amp; West'!F130))</f>
        <v>0</v>
      </c>
      <c r="G167" s="119">
        <f>N(CHOOSE($B$196,East!G130,London!G130,'North West'!G130,'West Midlands'!G130,Northern!G130,Scotland!G130,Southern!G130,'Wales &amp; West'!G130))</f>
        <v>0</v>
      </c>
      <c r="H167" s="119">
        <f>N(CHOOSE($B$196,East!H130,London!H130,'North West'!H130,'West Midlands'!H130,Northern!H130,Scotland!H130,Southern!H130,'Wales &amp; West'!H130))</f>
        <v>0</v>
      </c>
      <c r="I167" s="119">
        <f>N(CHOOSE($B$196,East!I130,London!I130,'North West'!I130,'West Midlands'!I130,Northern!I130,Scotland!I130,Southern!I130,'Wales &amp; West'!I130))</f>
        <v>0</v>
      </c>
      <c r="J167" s="119">
        <f>N(CHOOSE($B$196,East!J130,London!J130,'North West'!J130,'West Midlands'!J130,Northern!J130,Scotland!J130,Southern!J130,'Wales &amp; West'!J130))</f>
        <v>0</v>
      </c>
      <c r="K167" s="119">
        <f>N(CHOOSE($B$196,East!K130,London!K130,'North West'!K130,'West Midlands'!K130,Northern!K130,Scotland!K130,Southern!K130,'Wales &amp; West'!K130))</f>
        <v>0</v>
      </c>
      <c r="L167" s="119">
        <f>N(CHOOSE($B$196,East!L130,London!L130,'North West'!L130,'West Midlands'!L130,Northern!L130,Scotland!L130,Southern!L130,'Wales &amp; West'!L130))</f>
        <v>0</v>
      </c>
      <c r="M167" s="124"/>
      <c r="N167" s="124"/>
      <c r="O167" s="124"/>
      <c r="P167" s="124"/>
      <c r="Q167" s="124"/>
      <c r="R167" s="71"/>
    </row>
    <row r="168" spans="4:18" ht="14.25">
      <c r="D168" s="124"/>
      <c r="M168" s="71"/>
      <c r="N168" s="71"/>
      <c r="O168" s="71"/>
      <c r="P168" s="71"/>
      <c r="Q168" s="71"/>
      <c r="R168" s="71"/>
    </row>
    <row r="169" spans="3:18" ht="14.25">
      <c r="C169" s="63" t="s">
        <v>655</v>
      </c>
      <c r="D169" s="124"/>
      <c r="E169" s="116">
        <f>N(CHOOSE($B$196,East!E132,London!E132,'North West'!E132,'West Midlands'!E132,Northern!E132,Scotland!E132,Southern!E132,'Wales &amp; West'!E132))</f>
        <v>1</v>
      </c>
      <c r="M169" s="71"/>
      <c r="N169" s="71"/>
      <c r="O169" s="71"/>
      <c r="P169" s="71"/>
      <c r="Q169" s="71"/>
      <c r="R169" s="71"/>
    </row>
    <row r="170" spans="4:18" ht="14.25">
      <c r="D170" s="124"/>
      <c r="M170" s="71"/>
      <c r="N170" s="71"/>
      <c r="O170" s="71"/>
      <c r="P170" s="71"/>
      <c r="Q170" s="71"/>
      <c r="R170" s="71"/>
    </row>
    <row r="171" spans="3:18" ht="14.25">
      <c r="C171" s="63" t="s">
        <v>672</v>
      </c>
      <c r="D171" s="124"/>
      <c r="M171" s="71"/>
      <c r="N171" s="71"/>
      <c r="O171" s="71"/>
      <c r="P171" s="71"/>
      <c r="Q171" s="71"/>
      <c r="R171" s="71"/>
    </row>
    <row r="172" spans="3:18" ht="14.25">
      <c r="C172" s="63" t="s">
        <v>671</v>
      </c>
      <c r="D172" s="124"/>
      <c r="F172" s="116">
        <f>-N(CHOOSE($B$196,East!F135,London!F135,'North West'!F135,'West Midlands'!F135,Northern!F135,Scotland!F135,Southern!F135,'Wales &amp; West'!F135))</f>
        <v>0</v>
      </c>
      <c r="G172" s="116"/>
      <c r="M172" s="71"/>
      <c r="N172" s="71"/>
      <c r="O172" s="71"/>
      <c r="P172" s="71"/>
      <c r="Q172" s="71"/>
      <c r="R172" s="71"/>
    </row>
    <row r="173" spans="3:18" ht="14.25">
      <c r="C173" s="63" t="s">
        <v>138</v>
      </c>
      <c r="D173" s="124"/>
      <c r="F173" s="116">
        <f>N(CHOOSE($B$196,East!F136,London!F136,'North West'!F136,'West Midlands'!F136,Northern!F136,Scotland!F136,Southern!F136,'Wales &amp; West'!F136))</f>
        <v>0</v>
      </c>
      <c r="G173" s="116">
        <f>N(CHOOSE($B$196,East!G136,London!G136,'North West'!G136,'West Midlands'!G136,Northern!G136,Scotland!G136,Southern!G136,'Wales &amp; West'!G136))</f>
        <v>0</v>
      </c>
      <c r="M173" s="71"/>
      <c r="N173" s="71"/>
      <c r="O173" s="71"/>
      <c r="P173" s="71"/>
      <c r="Q173" s="71"/>
      <c r="R173" s="71"/>
    </row>
    <row r="174" spans="3:18" ht="14.25">
      <c r="C174" s="63" t="s">
        <v>740</v>
      </c>
      <c r="D174" s="124"/>
      <c r="F174" s="116">
        <f aca="true" t="shared" si="11" ref="F174:L174">+F112/RPI00to05*RPI2000allnom</f>
        <v>19.15310150891482</v>
      </c>
      <c r="G174" s="116">
        <f t="shared" si="11"/>
        <v>41.574061401204204</v>
      </c>
      <c r="H174" s="119">
        <f t="shared" si="11"/>
        <v>58.90076317862068</v>
      </c>
      <c r="I174" s="119">
        <f t="shared" si="11"/>
        <v>59.9257604261146</v>
      </c>
      <c r="J174" s="119">
        <f t="shared" si="11"/>
        <v>50.006251997720355</v>
      </c>
      <c r="K174" s="119">
        <f t="shared" si="11"/>
        <v>51.930986500068855</v>
      </c>
      <c r="L174" s="119">
        <f t="shared" si="11"/>
        <v>49.91048570839691</v>
      </c>
      <c r="M174" s="124"/>
      <c r="N174" s="124"/>
      <c r="O174" s="124"/>
      <c r="P174" s="124"/>
      <c r="Q174" s="124"/>
      <c r="R174" s="71"/>
    </row>
    <row r="175" spans="3:18" ht="14.25">
      <c r="C175" s="63" t="s">
        <v>743</v>
      </c>
      <c r="D175" s="124"/>
      <c r="F175" s="116">
        <f>-(F126+F127)/RPI00to05*RPI2000allnom</f>
        <v>0</v>
      </c>
      <c r="G175" s="116"/>
      <c r="H175" s="124"/>
      <c r="I175" s="124"/>
      <c r="J175" s="124"/>
      <c r="K175" s="124"/>
      <c r="L175" s="124"/>
      <c r="M175" s="124"/>
      <c r="N175" s="124"/>
      <c r="O175" s="124"/>
      <c r="P175" s="124"/>
      <c r="Q175" s="124"/>
      <c r="R175" s="71"/>
    </row>
    <row r="176" spans="3:18" ht="14.25">
      <c r="C176" s="63" t="s">
        <v>748</v>
      </c>
      <c r="D176" s="124"/>
      <c r="F176" s="127">
        <f>+F175-F172</f>
        <v>0</v>
      </c>
      <c r="G176" s="116"/>
      <c r="M176" s="71"/>
      <c r="N176" s="71"/>
      <c r="O176" s="71"/>
      <c r="P176" s="71"/>
      <c r="Q176" s="71"/>
      <c r="R176" s="71"/>
    </row>
    <row r="177" spans="3:18" ht="14.25">
      <c r="C177" s="63" t="s">
        <v>746</v>
      </c>
      <c r="D177" s="124"/>
      <c r="F177" s="116"/>
      <c r="G177" s="116">
        <f>N(CHOOSE($B$196,East!G139,London!G139,'North West'!G139,'West Midlands'!G139,Northern!G139,Scotland!G139,Southern!G139,'Wales &amp; West'!G139))</f>
        <v>0</v>
      </c>
      <c r="M177" s="71"/>
      <c r="N177" s="71"/>
      <c r="O177" s="71"/>
      <c r="P177" s="71"/>
      <c r="Q177" s="71"/>
      <c r="R177" s="71"/>
    </row>
    <row r="178" spans="3:18" ht="14.25">
      <c r="C178" s="63" t="s">
        <v>747</v>
      </c>
      <c r="D178" s="124"/>
      <c r="F178" s="116"/>
      <c r="G178" s="116">
        <f>N(CHOOSE($B$196,East!G140,London!G140,'North West'!G140,'West Midlands'!G140,Northern!G140,Scotland!G140,Southern!G140,'Wales &amp; West'!G140))</f>
        <v>1</v>
      </c>
      <c r="M178" s="71"/>
      <c r="N178" s="71"/>
      <c r="O178" s="71"/>
      <c r="P178" s="71"/>
      <c r="Q178" s="71"/>
      <c r="R178" s="71"/>
    </row>
    <row r="179" spans="5:18" ht="14.25">
      <c r="E179" s="69"/>
      <c r="G179" s="116"/>
      <c r="M179" s="71"/>
      <c r="N179" s="71"/>
      <c r="O179" s="71"/>
      <c r="P179" s="71"/>
      <c r="Q179" s="71"/>
      <c r="R179" s="71"/>
    </row>
    <row r="180" spans="13:18" ht="14.25">
      <c r="M180" s="71"/>
      <c r="N180" s="71"/>
      <c r="O180" s="71"/>
      <c r="P180" s="71"/>
      <c r="Q180" s="71"/>
      <c r="R180" s="71"/>
    </row>
    <row r="181" spans="3:18" ht="14.25">
      <c r="C181" s="63" t="s">
        <v>818</v>
      </c>
      <c r="E181" s="116">
        <f>CHOOSE($B$196,East!E22,London!E22,'North West'!E22,'West Midlands'!E22,Northern!E22,Scotland!E22,Southern!E22,'Wales &amp; West'!E22)</f>
        <v>-27.051999999999996</v>
      </c>
      <c r="F181" s="116">
        <f>CHOOSE($B$196,East!F22,London!F22,'North West'!F22,'West Midlands'!F22,Northern!F22,Scotland!F22,Southern!F22,'Wales &amp; West'!F22)</f>
        <v>-28.01949756097561</v>
      </c>
      <c r="G181" s="116">
        <f>CHOOSE($B$196,East!G22,London!G22,'North West'!G22,'West Midlands'!G22,Northern!G22,Scotland!G22,Southern!G22,'Wales &amp; West'!G22)</f>
        <v>-25.36956675788221</v>
      </c>
      <c r="H181" s="119">
        <f>CHOOSE($B$196,East!H47,London!H47,'North West'!H47,'West Midlands'!H47,Northern!H47,Scotland!H47,Southern!H47,'Wales &amp; West'!H47)</f>
        <v>-26.382261894306424</v>
      </c>
      <c r="I181" s="119">
        <f>CHOOSE($B$196,East!I47,London!I47,'North West'!I47,'West Midlands'!I47,Northern!I47,Scotland!I47,Southern!I47,'Wales &amp; West'!I47)</f>
        <v>-29.767391254642156</v>
      </c>
      <c r="J181" s="119">
        <f>CHOOSE($B$196,East!J47,London!J47,'North West'!J47,'West Midlands'!J47,Northern!J47,Scotland!J47,Southern!J47,'Wales &amp; West'!J47)</f>
        <v>-30.02389831490978</v>
      </c>
      <c r="K181" s="119">
        <f>CHOOSE($B$196,East!K47,London!K47,'North West'!K47,'West Midlands'!K47,Northern!K47,Scotland!K47,Southern!K47,'Wales &amp; West'!K47)</f>
        <v>-29.303888725307402</v>
      </c>
      <c r="L181" s="119">
        <f>CHOOSE($B$196,East!L47,London!L47,'North West'!L47,'West Midlands'!L47,Northern!L47,Scotland!L47,Southern!L47,'Wales &amp; West'!L47)</f>
        <v>-28.467901584998714</v>
      </c>
      <c r="M181" s="71"/>
      <c r="N181" s="71"/>
      <c r="O181" s="71"/>
      <c r="P181" s="71"/>
      <c r="Q181" s="71"/>
      <c r="R181" s="71"/>
    </row>
    <row r="182" spans="13:18" ht="14.25">
      <c r="M182" s="71"/>
      <c r="N182" s="71"/>
      <c r="O182" s="71"/>
      <c r="P182" s="71"/>
      <c r="Q182" s="71"/>
      <c r="R182" s="71"/>
    </row>
    <row r="183" spans="4:18" ht="14.25">
      <c r="D183" s="460"/>
      <c r="M183" s="71"/>
      <c r="N183" s="71"/>
      <c r="O183" s="71"/>
      <c r="P183" s="71"/>
      <c r="Q183" s="71"/>
      <c r="R183" s="71"/>
    </row>
    <row r="184" spans="13:18" ht="14.25">
      <c r="M184" s="71"/>
      <c r="N184" s="71"/>
      <c r="O184" s="71"/>
      <c r="P184" s="71"/>
      <c r="Q184" s="71"/>
      <c r="R184" s="71"/>
    </row>
    <row r="185" spans="2:18" ht="14.25">
      <c r="B185" s="216" t="s">
        <v>125</v>
      </c>
      <c r="M185" s="71"/>
      <c r="N185" s="71"/>
      <c r="O185" s="71"/>
      <c r="P185" s="71"/>
      <c r="Q185" s="71"/>
      <c r="R185" s="71"/>
    </row>
    <row r="186" spans="13:18" ht="14.25">
      <c r="M186" s="71"/>
      <c r="N186" s="71"/>
      <c r="O186" s="71"/>
      <c r="P186" s="71"/>
      <c r="Q186" s="71"/>
      <c r="R186" s="71"/>
    </row>
    <row r="187" spans="2:18" ht="14.25">
      <c r="B187" s="71" t="s">
        <v>583</v>
      </c>
      <c r="M187" s="71"/>
      <c r="N187" s="71"/>
      <c r="O187" s="71"/>
      <c r="P187" s="71"/>
      <c r="Q187" s="71"/>
      <c r="R187" s="71"/>
    </row>
    <row r="188" spans="2:18" ht="14.25">
      <c r="B188" s="71" t="s">
        <v>491</v>
      </c>
      <c r="M188" s="71"/>
      <c r="N188" s="71"/>
      <c r="O188" s="71"/>
      <c r="P188" s="71"/>
      <c r="Q188" s="71"/>
      <c r="R188" s="71"/>
    </row>
    <row r="189" spans="2:18" ht="14.25">
      <c r="B189" s="71" t="s">
        <v>485</v>
      </c>
      <c r="M189" s="71"/>
      <c r="N189" s="71"/>
      <c r="O189" s="71"/>
      <c r="P189" s="71"/>
      <c r="Q189" s="71"/>
      <c r="R189" s="71"/>
    </row>
    <row r="190" spans="2:18" ht="14.25">
      <c r="B190" s="71" t="s">
        <v>489</v>
      </c>
      <c r="M190" s="71"/>
      <c r="N190" s="71"/>
      <c r="O190" s="71"/>
      <c r="P190" s="71"/>
      <c r="Q190" s="71"/>
      <c r="R190" s="71"/>
    </row>
    <row r="191" spans="2:18" ht="14.25">
      <c r="B191" s="71" t="s">
        <v>488</v>
      </c>
      <c r="M191" s="71"/>
      <c r="N191" s="71"/>
      <c r="O191" s="71"/>
      <c r="P191" s="71"/>
      <c r="Q191" s="71"/>
      <c r="R191" s="71"/>
    </row>
    <row r="192" spans="2:18" ht="14.25">
      <c r="B192" s="71" t="s">
        <v>484</v>
      </c>
      <c r="M192" s="71"/>
      <c r="N192" s="71"/>
      <c r="O192" s="71"/>
      <c r="P192" s="71"/>
      <c r="Q192" s="71"/>
      <c r="R192" s="71"/>
    </row>
    <row r="193" spans="2:18" ht="14.25">
      <c r="B193" s="71" t="s">
        <v>492</v>
      </c>
      <c r="M193" s="71"/>
      <c r="N193" s="71"/>
      <c r="O193" s="71"/>
      <c r="P193" s="71"/>
      <c r="Q193" s="71"/>
      <c r="R193" s="71"/>
    </row>
    <row r="194" spans="2:18" ht="14.25">
      <c r="B194" s="71" t="s">
        <v>490</v>
      </c>
      <c r="M194" s="71"/>
      <c r="N194" s="71"/>
      <c r="O194" s="71"/>
      <c r="P194" s="71"/>
      <c r="Q194" s="71"/>
      <c r="R194" s="71"/>
    </row>
    <row r="195" spans="13:18" ht="14.25">
      <c r="M195" s="71"/>
      <c r="N195" s="71"/>
      <c r="O195" s="71"/>
      <c r="P195" s="71"/>
      <c r="Q195" s="71"/>
      <c r="R195" s="71"/>
    </row>
    <row r="196" spans="2:18" ht="14.25">
      <c r="B196" s="71">
        <v>8</v>
      </c>
      <c r="M196" s="71"/>
      <c r="N196" s="71"/>
      <c r="O196" s="71"/>
      <c r="P196" s="71"/>
      <c r="Q196" s="71"/>
      <c r="R196" s="71"/>
    </row>
    <row r="197" spans="13:18" ht="14.25">
      <c r="M197" s="71"/>
      <c r="N197" s="71"/>
      <c r="O197" s="71"/>
      <c r="P197" s="71"/>
      <c r="Q197" s="71"/>
      <c r="R197" s="71"/>
    </row>
    <row r="198" spans="3:18" ht="14.25">
      <c r="C198" s="71"/>
      <c r="M198" s="71"/>
      <c r="N198" s="71"/>
      <c r="O198" s="71"/>
      <c r="P198" s="71"/>
      <c r="Q198" s="71"/>
      <c r="R198" s="71"/>
    </row>
    <row r="199" spans="13:18" ht="14.25">
      <c r="M199" s="71"/>
      <c r="N199" s="71"/>
      <c r="O199" s="71"/>
      <c r="P199" s="71"/>
      <c r="Q199" s="71"/>
      <c r="R199" s="71"/>
    </row>
    <row r="200" spans="2:18" ht="14.25">
      <c r="B200" s="216" t="s">
        <v>437</v>
      </c>
      <c r="M200" s="71"/>
      <c r="N200" s="71"/>
      <c r="O200" s="71"/>
      <c r="P200" s="71"/>
      <c r="Q200" s="71"/>
      <c r="R200" s="71"/>
    </row>
    <row r="201" spans="2:18" ht="14.25">
      <c r="B201" s="71">
        <v>1</v>
      </c>
      <c r="C201" s="63" t="s">
        <v>124</v>
      </c>
      <c r="D201" s="447">
        <v>0.5</v>
      </c>
      <c r="M201" s="71"/>
      <c r="N201" s="71"/>
      <c r="O201" s="71"/>
      <c r="P201" s="71"/>
      <c r="Q201" s="71"/>
      <c r="R201" s="71"/>
    </row>
    <row r="202" spans="2:18" ht="14.25">
      <c r="B202" s="71">
        <v>2</v>
      </c>
      <c r="C202" s="63" t="s">
        <v>123</v>
      </c>
      <c r="D202" s="447">
        <v>0.4</v>
      </c>
      <c r="M202" s="71"/>
      <c r="N202" s="71"/>
      <c r="O202" s="71"/>
      <c r="P202" s="71"/>
      <c r="Q202" s="71"/>
      <c r="R202" s="71"/>
    </row>
    <row r="203" spans="2:18" ht="14.25">
      <c r="B203" s="71">
        <v>3</v>
      </c>
      <c r="C203" s="63" t="s">
        <v>683</v>
      </c>
      <c r="D203" s="447">
        <v>0.6</v>
      </c>
      <c r="M203" s="71"/>
      <c r="N203" s="71"/>
      <c r="O203" s="71"/>
      <c r="P203" s="71"/>
      <c r="Q203" s="71"/>
      <c r="R203" s="71"/>
    </row>
    <row r="204" spans="2:18" ht="14.25">
      <c r="B204" s="71">
        <v>1</v>
      </c>
      <c r="M204" s="71"/>
      <c r="N204" s="71"/>
      <c r="O204" s="71"/>
      <c r="P204" s="71"/>
      <c r="Q204" s="71"/>
      <c r="R204" s="71"/>
    </row>
    <row r="205" spans="13:18" ht="14.25">
      <c r="M205" s="71"/>
      <c r="N205" s="71"/>
      <c r="O205" s="71"/>
      <c r="P205" s="71"/>
      <c r="Q205" s="71"/>
      <c r="R205" s="71"/>
    </row>
    <row r="206" spans="2:18" ht="14.25">
      <c r="B206" s="216"/>
      <c r="M206" s="71"/>
      <c r="N206" s="71"/>
      <c r="O206" s="71"/>
      <c r="P206" s="71"/>
      <c r="Q206" s="71"/>
      <c r="R206" s="71"/>
    </row>
    <row r="207" spans="3:18" ht="14.25">
      <c r="C207" s="89"/>
      <c r="M207" s="71"/>
      <c r="N207" s="71"/>
      <c r="O207" s="71"/>
      <c r="P207" s="71"/>
      <c r="Q207" s="71"/>
      <c r="R207" s="71"/>
    </row>
    <row r="208" spans="3:18" ht="14.25">
      <c r="C208" s="89"/>
      <c r="M208" s="71"/>
      <c r="N208" s="71"/>
      <c r="O208" s="71"/>
      <c r="P208" s="71"/>
      <c r="Q208" s="71"/>
      <c r="R208" s="71"/>
    </row>
    <row r="209" spans="13:18" ht="14.25">
      <c r="M209" s="71"/>
      <c r="N209" s="71"/>
      <c r="O209" s="71"/>
      <c r="P209" s="71"/>
      <c r="Q209" s="71"/>
      <c r="R209" s="71"/>
    </row>
    <row r="210" spans="1:18" ht="14.25">
      <c r="A210" s="98"/>
      <c r="B210" s="216" t="s">
        <v>83</v>
      </c>
      <c r="G210" s="264"/>
      <c r="H210" s="264"/>
      <c r="I210" s="264"/>
      <c r="J210" s="264"/>
      <c r="K210" s="264"/>
      <c r="L210" s="264"/>
      <c r="M210" s="55"/>
      <c r="N210" s="71"/>
      <c r="O210" s="71"/>
      <c r="P210" s="71"/>
      <c r="Q210" s="71"/>
      <c r="R210" s="71"/>
    </row>
    <row r="211" spans="1:18" ht="14.25">
      <c r="A211" s="98"/>
      <c r="B211" s="216"/>
      <c r="G211" s="264"/>
      <c r="H211" s="264"/>
      <c r="I211" s="264"/>
      <c r="J211" s="264"/>
      <c r="K211" s="264"/>
      <c r="L211" s="264"/>
      <c r="M211" s="55"/>
      <c r="N211" s="71"/>
      <c r="O211" s="71"/>
      <c r="P211" s="71"/>
      <c r="Q211" s="71"/>
      <c r="R211" s="71"/>
    </row>
    <row r="212" spans="1:17" ht="14.25">
      <c r="A212" s="98"/>
      <c r="B212" s="56" t="s">
        <v>172</v>
      </c>
      <c r="C212" s="130"/>
      <c r="D212" s="77"/>
      <c r="E212" s="55"/>
      <c r="F212" s="58"/>
      <c r="G212" s="58"/>
      <c r="H212" s="57"/>
      <c r="I212" s="56"/>
      <c r="J212" s="57"/>
      <c r="K212" s="57"/>
      <c r="L212" s="57"/>
      <c r="M212" s="57" t="s">
        <v>799</v>
      </c>
      <c r="N212" s="98"/>
      <c r="O212" s="71"/>
      <c r="P212" s="71"/>
      <c r="Q212" s="71"/>
    </row>
    <row r="213" spans="1:17" ht="14.25">
      <c r="A213" s="98"/>
      <c r="B213" s="57" t="s">
        <v>529</v>
      </c>
      <c r="C213" s="130"/>
      <c r="D213" s="77"/>
      <c r="E213" s="44"/>
      <c r="F213" s="44"/>
      <c r="G213" s="52">
        <f>CHOOSE($B$196,East!G243,London!G243,'North West'!G243,'West Midlands'!G243,Northern!G243,Scotland!G243,Southern!G243,'Wales &amp; West'!G243)</f>
        <v>8.95</v>
      </c>
      <c r="H213" s="52">
        <f>CHOOSE($B$196,East!H243,London!H243,'North West'!H243,'West Midlands'!H243,Northern!H243,Scotland!H243,Southern!H243,'Wales &amp; West'!H243)</f>
        <v>17.917235865806738</v>
      </c>
      <c r="I213" s="52">
        <f>CHOOSE($B$196,East!I243,London!I243,'North West'!I243,'West Midlands'!I243,Northern!I243,Scotland!I243,Southern!I243,'Wales &amp; West'!I243)</f>
        <v>21.16021024028704</v>
      </c>
      <c r="J213" s="52">
        <f>CHOOSE($B$196,East!J243,London!J243,'North West'!J243,'West Midlands'!J243,Northern!J243,Scotland!J243,Southern!J243,'Wales &amp; West'!J243)</f>
        <v>13.553612035528943</v>
      </c>
      <c r="K213" s="52">
        <f>CHOOSE($B$196,East!K243,London!K243,'North West'!K243,'West Midlands'!K243,Northern!K243,Scotland!K243,Southern!K243,'Wales &amp; West'!K243)</f>
        <v>12.156307198623608</v>
      </c>
      <c r="L213" s="52">
        <f>CHOOSE($B$196,East!L243,London!L243,'North West'!L243,'West Midlands'!L243,Northern!L243,Scotland!L243,Southern!L243,'Wales &amp; West'!L243)</f>
        <v>8.536738043890363</v>
      </c>
      <c r="M213" s="502">
        <f>CHOOSE($B$196,East!M243,London!M243,'North West'!M243,'West Midlands'!M243,Northern!M243,Scotland!M243,Southern!M243,'Wales &amp; West'!M243)</f>
        <v>73.32410338413669</v>
      </c>
      <c r="N213" s="71"/>
      <c r="O213" s="71"/>
      <c r="P213" s="71"/>
      <c r="Q213" s="71"/>
    </row>
    <row r="214" spans="1:17" ht="14.25">
      <c r="A214" s="98"/>
      <c r="B214" s="57" t="s">
        <v>170</v>
      </c>
      <c r="C214" s="130"/>
      <c r="D214" s="77"/>
      <c r="E214" s="44"/>
      <c r="F214" s="44"/>
      <c r="G214" s="52">
        <f>CHOOSE($B$196,East!G244,London!G244,'North West'!G244,'West Midlands'!G244,Northern!G244,Scotland!G244,Southern!G244,'Wales &amp; West'!G244)</f>
        <v>30.62079014986718</v>
      </c>
      <c r="H214" s="52">
        <f>CHOOSE($B$196,East!H244,London!H244,'North West'!H244,'West Midlands'!H244,Northern!H244,Scotland!H244,Southern!H244,'Wales &amp; West'!H244)</f>
        <v>36.77797812458406</v>
      </c>
      <c r="I214" s="52">
        <f>CHOOSE($B$196,East!I244,London!I244,'North West'!I244,'West Midlands'!I244,Northern!I244,Scotland!I244,Southern!I244,'Wales &amp; West'!I244)</f>
        <v>33.12957105786713</v>
      </c>
      <c r="J214" s="52">
        <f>CHOOSE($B$196,East!J244,London!J244,'North West'!J244,'West Midlands'!J244,Northern!J244,Scotland!J244,Southern!J244,'Wales &amp; West'!J244)</f>
        <v>30.644628199938175</v>
      </c>
      <c r="K214" s="52">
        <f>CHOOSE($B$196,East!K244,London!K244,'North West'!K244,'West Midlands'!K244,Northern!K244,Scotland!K244,Southern!K244,'Wales &amp; West'!K244)</f>
        <v>32.623619706623046</v>
      </c>
      <c r="L214" s="52">
        <f>CHOOSE($B$196,East!L244,London!L244,'North West'!L244,'West Midlands'!L244,Northern!L244,Scotland!L244,Southern!L244,'Wales &amp; West'!L244)</f>
        <v>33.45121844871181</v>
      </c>
      <c r="M214" s="502">
        <f>CHOOSE($B$196,East!M244,London!M244,'North West'!M244,'West Midlands'!M244,Northern!M244,Scotland!M244,Southern!M244,'Wales &amp; West'!M244)</f>
        <v>166.62701553772422</v>
      </c>
      <c r="N214" s="71"/>
      <c r="O214" s="71"/>
      <c r="P214" s="71"/>
      <c r="Q214" s="71"/>
    </row>
    <row r="215" spans="1:17" ht="14.25">
      <c r="A215" s="98"/>
      <c r="B215" s="56" t="s">
        <v>699</v>
      </c>
      <c r="C215" s="130"/>
      <c r="D215" s="77"/>
      <c r="E215" s="59"/>
      <c r="F215" s="59"/>
      <c r="G215" s="53">
        <f>CHOOSE($B$196,East!G245,London!G245,'North West'!G245,'West Midlands'!G245,Northern!G245,Scotland!G245,Southern!G245,'Wales &amp; West'!G245)</f>
        <v>39.57079014986718</v>
      </c>
      <c r="H215" s="53">
        <f>CHOOSE($B$196,East!H245,London!H245,'North West'!H245,'West Midlands'!H245,Northern!H245,Scotland!H245,Southern!H245,'Wales &amp; West'!H245)</f>
        <v>54.6952139903908</v>
      </c>
      <c r="I215" s="53">
        <f>CHOOSE($B$196,East!I245,London!I245,'North West'!I245,'West Midlands'!I245,Northern!I245,Scotland!I245,Southern!I245,'Wales &amp; West'!I245)</f>
        <v>54.28978129815417</v>
      </c>
      <c r="J215" s="53">
        <f>CHOOSE($B$196,East!J245,London!J245,'North West'!J245,'West Midlands'!J245,Northern!J245,Scotland!J245,Southern!J245,'Wales &amp; West'!J245)</f>
        <v>44.19824023546712</v>
      </c>
      <c r="K215" s="53">
        <f>CHOOSE($B$196,East!K245,London!K245,'North West'!K245,'West Midlands'!K245,Northern!K245,Scotland!K245,Southern!K245,'Wales &amp; West'!K245)</f>
        <v>44.779926905246654</v>
      </c>
      <c r="L215" s="53">
        <f>CHOOSE($B$196,East!L245,London!L245,'North West'!L245,'West Midlands'!L245,Northern!L245,Scotland!L245,Southern!L245,'Wales &amp; West'!L245)</f>
        <v>41.98795649260217</v>
      </c>
      <c r="M215" s="503">
        <f>CHOOSE($B$196,East!M245,London!M245,'North West'!M245,'West Midlands'!M245,Northern!M245,Scotland!M245,Southern!M245,'Wales &amp; West'!M245)</f>
        <v>239.95111892186094</v>
      </c>
      <c r="N215" s="71"/>
      <c r="O215" s="71"/>
      <c r="P215" s="71"/>
      <c r="Q215" s="71"/>
    </row>
    <row r="216" spans="1:17" ht="14.25">
      <c r="A216" s="98"/>
      <c r="B216" s="56"/>
      <c r="C216" s="130"/>
      <c r="D216" s="77"/>
      <c r="E216" s="59"/>
      <c r="F216" s="59"/>
      <c r="G216" s="52"/>
      <c r="H216" s="52"/>
      <c r="I216" s="52"/>
      <c r="J216" s="52"/>
      <c r="K216" s="52"/>
      <c r="L216" s="52"/>
      <c r="M216" s="502"/>
      <c r="N216" s="71"/>
      <c r="O216" s="71"/>
      <c r="P216" s="71"/>
      <c r="Q216" s="71"/>
    </row>
    <row r="217" spans="1:17" ht="14.25">
      <c r="A217" s="98"/>
      <c r="B217" s="56" t="s">
        <v>174</v>
      </c>
      <c r="C217" s="130"/>
      <c r="D217" s="77"/>
      <c r="E217" s="55"/>
      <c r="F217" s="60"/>
      <c r="G217" s="52"/>
      <c r="H217" s="52"/>
      <c r="I217" s="52"/>
      <c r="J217" s="52"/>
      <c r="K217" s="52"/>
      <c r="L217" s="52"/>
      <c r="M217" s="502"/>
      <c r="N217" s="71"/>
      <c r="O217" s="71"/>
      <c r="P217" s="71"/>
      <c r="Q217" s="71"/>
    </row>
    <row r="218" spans="1:17" ht="14.25">
      <c r="A218" s="98"/>
      <c r="B218" s="499" t="s">
        <v>175</v>
      </c>
      <c r="C218" s="130"/>
      <c r="D218" s="77"/>
      <c r="E218" s="44"/>
      <c r="F218" s="44"/>
      <c r="G218" s="52">
        <f>CHOOSE($B$196,East!G248,London!G248,'North West'!G248,'West Midlands'!G248,Northern!G248,Scotland!G248,Southern!G248,'Wales &amp; West'!G248)</f>
        <v>53.94089304951359</v>
      </c>
      <c r="H218" s="52">
        <f>CHOOSE($B$196,East!H248,London!H248,'North West'!H248,'West Midlands'!H248,Northern!H248,Scotland!H248,Southern!H248,'Wales &amp; West'!H248)</f>
        <v>59.02066922282985</v>
      </c>
      <c r="I218" s="52">
        <f>CHOOSE($B$196,East!I248,London!I248,'North West'!I248,'West Midlands'!I248,Northern!I248,Scotland!I248,Southern!I248,'Wales &amp; West'!I248)</f>
        <v>59.609635048844765</v>
      </c>
      <c r="J218" s="52">
        <f>CHOOSE($B$196,East!J248,London!J248,'North West'!J248,'West Midlands'!J248,Northern!J248,Scotland!J248,Southern!J248,'Wales &amp; West'!J248)</f>
        <v>60.91339240409806</v>
      </c>
      <c r="K218" s="52">
        <f>CHOOSE($B$196,East!K248,London!K248,'North West'!K248,'West Midlands'!K248,Northern!K248,Scotland!K248,Southern!K248,'Wales &amp; West'!K248)</f>
        <v>61.77537850677135</v>
      </c>
      <c r="L218" s="52">
        <f>CHOOSE($B$196,East!L248,London!L248,'North West'!L248,'West Midlands'!L248,Northern!L248,Scotland!L248,Southern!L248,'Wales &amp; West'!L248)</f>
        <v>61.80479452911195</v>
      </c>
      <c r="M218" s="502">
        <f>CHOOSE($B$196,East!M248,London!M248,'North West'!M248,'West Midlands'!M248,Northern!M248,Scotland!M248,Southern!M248,'Wales &amp; West'!M248)</f>
        <v>303.12386971165597</v>
      </c>
      <c r="N218" s="71"/>
      <c r="O218" s="71"/>
      <c r="P218" s="71"/>
      <c r="Q218" s="71"/>
    </row>
    <row r="219" spans="1:17" ht="14.25">
      <c r="A219" s="98"/>
      <c r="B219" s="499" t="s">
        <v>176</v>
      </c>
      <c r="C219" s="130"/>
      <c r="D219" s="77"/>
      <c r="E219" s="44"/>
      <c r="F219" s="44"/>
      <c r="G219" s="52">
        <f>CHOOSE($B$196,East!G249,London!G249,'North West'!G249,'West Midlands'!G249,Northern!G249,Scotland!G249,Southern!G249,'Wales &amp; West'!G249)</f>
        <v>0</v>
      </c>
      <c r="H219" s="52">
        <f>CHOOSE($B$196,East!H249,London!H249,'North West'!H249,'West Midlands'!H249,Northern!H249,Scotland!H249,Southern!H249,'Wales &amp; West'!H249)</f>
        <v>3.570581372841644</v>
      </c>
      <c r="I219" s="52">
        <f>CHOOSE($B$196,East!I249,London!I249,'North West'!I249,'West Midlands'!I249,Northern!I249,Scotland!I249,Southern!I249,'Wales &amp; West'!I249)</f>
        <v>12.999700869045459</v>
      </c>
      <c r="J219" s="52">
        <f>CHOOSE($B$196,East!J249,London!J249,'North West'!J249,'West Midlands'!J249,Northern!J249,Scotland!J249,Southern!J249,'Wales &amp; West'!J249)</f>
        <v>7.683873571129068</v>
      </c>
      <c r="K219" s="52">
        <f>CHOOSE($B$196,East!K249,London!K249,'North West'!K249,'West Midlands'!K249,Northern!K249,Scotland!K249,Southern!K249,'Wales &amp; West'!K249)</f>
        <v>6.921118441431393</v>
      </c>
      <c r="L219" s="52">
        <f>CHOOSE($B$196,East!L249,London!L249,'North West'!L249,'West Midlands'!L249,Northern!L249,Scotland!L249,Southern!L249,'Wales &amp; West'!L249)</f>
        <v>5.408323092228058</v>
      </c>
      <c r="M219" s="502">
        <f>CHOOSE($B$196,East!M249,London!M249,'North West'!M249,'West Midlands'!M249,Northern!M249,Scotland!M249,Southern!M249,'Wales &amp; West'!M249)</f>
        <v>36.58359734667562</v>
      </c>
      <c r="N219" s="71"/>
      <c r="O219" s="71"/>
      <c r="P219" s="71"/>
      <c r="Q219" s="71"/>
    </row>
    <row r="220" spans="1:17" ht="14.25">
      <c r="A220" s="98"/>
      <c r="B220" s="499" t="s">
        <v>177</v>
      </c>
      <c r="C220" s="130"/>
      <c r="D220" s="77"/>
      <c r="E220" s="44"/>
      <c r="F220" s="44"/>
      <c r="G220" s="52">
        <f>CHOOSE($B$196,East!G250,London!G250,'North West'!G250,'West Midlands'!G250,Northern!G250,Scotland!G250,Southern!G250,'Wales &amp; West'!G250)</f>
        <v>0</v>
      </c>
      <c r="H220" s="52">
        <f>CHOOSE($B$196,East!H250,London!H250,'North West'!H250,'West Midlands'!H250,Northern!H250,Scotland!H250,Southern!H250,'Wales &amp; West'!H250)</f>
        <v>0.656625</v>
      </c>
      <c r="I220" s="52">
        <f>CHOOSE($B$196,East!I250,London!I250,'North West'!I250,'West Midlands'!I250,Northern!I250,Scotland!I250,Southern!I250,'Wales &amp; West'!I250)</f>
        <v>0.68425</v>
      </c>
      <c r="J220" s="52">
        <f>CHOOSE($B$196,East!J250,London!J250,'North West'!J250,'West Midlands'!J250,Northern!J250,Scotland!J250,Southern!J250,'Wales &amp; West'!J250)</f>
        <v>0.7125833333333333</v>
      </c>
      <c r="K220" s="52">
        <f>CHOOSE($B$196,East!K250,London!K250,'North West'!K250,'West Midlands'!K250,Northern!K250,Scotland!K250,Southern!K250,'Wales &amp; West'!K250)</f>
        <v>0.7423333333333333</v>
      </c>
      <c r="L220" s="52">
        <f>CHOOSE($B$196,East!L250,London!L250,'North West'!L250,'West Midlands'!L250,Northern!L250,Scotland!L250,Southern!L250,'Wales &amp; West'!L250)</f>
        <v>0.7735000000000001</v>
      </c>
      <c r="M220" s="502">
        <f>CHOOSE($B$196,East!M250,London!M250,'North West'!M250,'West Midlands'!M250,Northern!M250,Scotland!M250,Southern!M250,'Wales &amp; West'!M250)</f>
        <v>3.5692916666666665</v>
      </c>
      <c r="N220" s="71"/>
      <c r="O220" s="71"/>
      <c r="P220" s="71"/>
      <c r="Q220" s="71"/>
    </row>
    <row r="221" spans="1:17" ht="14.25">
      <c r="A221" s="98"/>
      <c r="B221" s="56" t="s">
        <v>530</v>
      </c>
      <c r="C221" s="130"/>
      <c r="D221" s="77"/>
      <c r="E221" s="61"/>
      <c r="F221" s="61"/>
      <c r="G221" s="53">
        <f>CHOOSE($B$196,East!G251,London!G251,'North West'!G251,'West Midlands'!G251,Northern!G251,Scotland!G251,Southern!G251,'Wales &amp; West'!G251)</f>
        <v>53.94089304951359</v>
      </c>
      <c r="H221" s="53">
        <f>CHOOSE($B$196,East!H251,London!H251,'North West'!H251,'West Midlands'!H251,Northern!H251,Scotland!H251,Southern!H251,'Wales &amp; West'!H251)</f>
        <v>63.247875595671495</v>
      </c>
      <c r="I221" s="53">
        <f>CHOOSE($B$196,East!I251,London!I251,'North West'!I251,'West Midlands'!I251,Northern!I251,Scotland!I251,Southern!I251,'Wales &amp; West'!I251)</f>
        <v>73.29358591789023</v>
      </c>
      <c r="J221" s="53">
        <f>CHOOSE($B$196,East!J251,London!J251,'North West'!J251,'West Midlands'!J251,Northern!J251,Scotland!J251,Southern!J251,'Wales &amp; West'!J251)</f>
        <v>69.30984930856046</v>
      </c>
      <c r="K221" s="53">
        <f>CHOOSE($B$196,East!K251,London!K251,'North West'!K251,'West Midlands'!K251,Northern!K251,Scotland!K251,Southern!K251,'Wales &amp; West'!K251)</f>
        <v>69.43883028153607</v>
      </c>
      <c r="L221" s="53">
        <f>CHOOSE($B$196,East!L251,London!L251,'North West'!L251,'West Midlands'!L251,Northern!L251,Scotland!L251,Southern!L251,'Wales &amp; West'!L251)</f>
        <v>67.98661762134</v>
      </c>
      <c r="M221" s="503">
        <f>CHOOSE($B$196,East!M251,London!M251,'North West'!M251,'West Midlands'!M251,Northern!M251,Scotland!M251,Southern!M251,'Wales &amp; West'!M251)</f>
        <v>343.2767587249983</v>
      </c>
      <c r="N221" s="71"/>
      <c r="O221" s="71"/>
      <c r="P221" s="71"/>
      <c r="Q221" s="71"/>
    </row>
    <row r="222" spans="1:17" ht="14.25">
      <c r="A222" s="98"/>
      <c r="B222" s="56"/>
      <c r="C222" s="446"/>
      <c r="D222" s="77"/>
      <c r="E222" s="55"/>
      <c r="F222" s="58"/>
      <c r="G222" s="44"/>
      <c r="H222" s="44"/>
      <c r="I222" s="44"/>
      <c r="J222" s="44"/>
      <c r="K222" s="44"/>
      <c r="L222" s="44"/>
      <c r="M222" s="98"/>
      <c r="N222" s="71"/>
      <c r="O222" s="71"/>
      <c r="P222" s="71"/>
      <c r="Q222" s="71"/>
    </row>
    <row r="223" spans="7:17" ht="14.25">
      <c r="G223" s="129"/>
      <c r="H223" s="129"/>
      <c r="I223" s="129"/>
      <c r="J223" s="129"/>
      <c r="K223" s="129"/>
      <c r="L223" s="129"/>
      <c r="M223" s="98"/>
      <c r="N223" s="71"/>
      <c r="O223" s="71"/>
      <c r="P223" s="71"/>
      <c r="Q223" s="71"/>
    </row>
    <row r="224" spans="2:17" ht="14.25">
      <c r="B224" s="216"/>
      <c r="M224" s="71"/>
      <c r="N224" s="71"/>
      <c r="O224" s="71"/>
      <c r="P224" s="71"/>
      <c r="Q224" s="71"/>
    </row>
    <row r="225" spans="1:17" s="77" customFormat="1" ht="14.25">
      <c r="A225" s="216" t="s">
        <v>84</v>
      </c>
      <c r="B225" s="71"/>
      <c r="M225" s="121"/>
      <c r="N225" s="121"/>
      <c r="O225" s="121"/>
      <c r="P225" s="121"/>
      <c r="Q225" s="121"/>
    </row>
    <row r="226" spans="1:17" s="77" customFormat="1" ht="14.25">
      <c r="A226" s="71"/>
      <c r="B226" s="71"/>
      <c r="D226" s="132"/>
      <c r="M226" s="121"/>
      <c r="N226" s="121"/>
      <c r="O226" s="121"/>
      <c r="P226" s="121"/>
      <c r="Q226" s="121"/>
    </row>
    <row r="227" spans="2:17" ht="14.25">
      <c r="B227" s="216"/>
      <c r="C227" s="259" t="s">
        <v>408</v>
      </c>
      <c r="M227" s="71"/>
      <c r="N227" s="71"/>
      <c r="O227" s="71"/>
      <c r="P227" s="71"/>
      <c r="Q227" s="71"/>
    </row>
    <row r="228" spans="3:17" ht="14.25">
      <c r="C228" s="63" t="s">
        <v>434</v>
      </c>
      <c r="G228" s="44">
        <f>CHOOSE($B$196,East!G181,London!G181,'North West'!G181,'West Midlands'!G181,Northern!G181,Scotland!G181,Southern!G181,'Wales &amp; West'!G181)</f>
        <v>1.1168663589970573</v>
      </c>
      <c r="M228" s="71"/>
      <c r="N228" s="71"/>
      <c r="O228" s="71"/>
      <c r="P228" s="71"/>
      <c r="Q228" s="71"/>
    </row>
    <row r="229" spans="3:17" ht="14.25">
      <c r="C229" s="63" t="s">
        <v>235</v>
      </c>
      <c r="G229" s="44">
        <f>CHOOSE($B$196,East!G182,London!G182,'North West'!G182,'West Midlands'!G182,Northern!G182,Scotland!G182,Southern!G182,'Wales &amp; West'!G182)</f>
        <v>2.081685777194206</v>
      </c>
      <c r="M229" s="71"/>
      <c r="N229" s="71"/>
      <c r="O229" s="71"/>
      <c r="P229" s="71"/>
      <c r="Q229" s="71"/>
    </row>
    <row r="230" spans="7:17" ht="14.25">
      <c r="G230" s="44"/>
      <c r="M230" s="71"/>
      <c r="N230" s="71"/>
      <c r="O230" s="71"/>
      <c r="P230" s="71"/>
      <c r="Q230" s="71"/>
    </row>
    <row r="231" spans="3:17" ht="14.25">
      <c r="C231" s="63" t="s">
        <v>598</v>
      </c>
      <c r="G231" s="44"/>
      <c r="M231" s="71"/>
      <c r="N231" s="71"/>
      <c r="O231" s="71"/>
      <c r="P231" s="71"/>
      <c r="Q231" s="71"/>
    </row>
    <row r="232" spans="3:17" ht="14.25">
      <c r="C232" s="63" t="s">
        <v>669</v>
      </c>
      <c r="G232" s="44"/>
      <c r="M232" s="71"/>
      <c r="N232" s="71"/>
      <c r="O232" s="71"/>
      <c r="P232" s="71"/>
      <c r="Q232" s="71"/>
    </row>
    <row r="233" spans="3:17" ht="14.25">
      <c r="C233" s="63" t="s">
        <v>307</v>
      </c>
      <c r="G233" s="44"/>
      <c r="M233" s="71"/>
      <c r="N233" s="71"/>
      <c r="O233" s="71"/>
      <c r="P233" s="71"/>
      <c r="Q233" s="71"/>
    </row>
    <row r="234" spans="2:17" ht="14.25">
      <c r="B234" s="216"/>
      <c r="M234" s="71"/>
      <c r="N234" s="71"/>
      <c r="O234" s="71"/>
      <c r="P234" s="71"/>
      <c r="Q234" s="71"/>
    </row>
    <row r="235" spans="3:17" ht="14.25">
      <c r="C235" s="63" t="s">
        <v>729</v>
      </c>
      <c r="D235" s="63" t="s">
        <v>730</v>
      </c>
      <c r="G235" s="62">
        <f>CHOOSE($B$196,East!G188,London!G188,'North West'!G188,'West Midlands'!G188,Northern!G188,Scotland!G188,Southern!G188,'Wales &amp; West'!G188)</f>
        <v>0</v>
      </c>
      <c r="M235" s="71"/>
      <c r="N235" s="71"/>
      <c r="O235" s="71"/>
      <c r="P235" s="71"/>
      <c r="Q235" s="71"/>
    </row>
    <row r="236" spans="3:17" ht="14.25">
      <c r="C236" s="63" t="s">
        <v>731</v>
      </c>
      <c r="D236" s="132"/>
      <c r="G236" s="62">
        <f>CHOOSE($B$196,East!G189,London!G189,'North West'!G189,'West Midlands'!G189,Northern!G189,Scotland!G189,Southern!G189,'Wales &amp; West'!G189)</f>
        <v>0</v>
      </c>
      <c r="M236" s="71"/>
      <c r="N236" s="71"/>
      <c r="O236" s="71"/>
      <c r="P236" s="71"/>
      <c r="Q236" s="71"/>
    </row>
    <row r="237" spans="3:17" ht="14.25">
      <c r="C237" s="63" t="s">
        <v>109</v>
      </c>
      <c r="D237" s="132"/>
      <c r="G237" s="62">
        <f>CHOOSE($B$196,East!G190,London!G190,'North West'!G190,'West Midlands'!G190,Northern!G190,Scotland!G190,Southern!G190,'Wales &amp; West'!G190)</f>
        <v>-0.6391851142678755</v>
      </c>
      <c r="M237" s="71"/>
      <c r="N237" s="71"/>
      <c r="O237" s="71"/>
      <c r="P237" s="71"/>
      <c r="Q237" s="71"/>
    </row>
    <row r="238" spans="3:17" ht="14.25">
      <c r="C238" s="63" t="s">
        <v>409</v>
      </c>
      <c r="D238" s="63" t="s">
        <v>188</v>
      </c>
      <c r="G238" s="62">
        <f>CHOOSE($B$196,East!G191,London!G191,'North West'!G191,'West Midlands'!G191,Northern!G191,Scotland!G191,Southern!G191,'Wales &amp; West'!G191)</f>
        <v>10.753677251233984</v>
      </c>
      <c r="M238" s="71"/>
      <c r="N238" s="71"/>
      <c r="O238" s="71"/>
      <c r="P238" s="71"/>
      <c r="Q238" s="71"/>
    </row>
    <row r="239" spans="13:17" ht="14.25">
      <c r="M239" s="71"/>
      <c r="N239" s="71"/>
      <c r="O239" s="71"/>
      <c r="P239" s="71"/>
      <c r="Q239" s="71"/>
    </row>
    <row r="240" spans="3:17" ht="14.25">
      <c r="C240" s="259" t="s">
        <v>412</v>
      </c>
      <c r="M240" s="71"/>
      <c r="N240" s="71"/>
      <c r="O240" s="71"/>
      <c r="P240" s="71"/>
      <c r="Q240" s="71"/>
    </row>
    <row r="241" spans="3:17" ht="14.25">
      <c r="C241" s="98"/>
      <c r="D241" s="172"/>
      <c r="M241" s="71"/>
      <c r="N241" s="71"/>
      <c r="O241" s="71"/>
      <c r="P241" s="71"/>
      <c r="Q241" s="71"/>
    </row>
    <row r="242" spans="1:256" s="71" customFormat="1" ht="14.25">
      <c r="A242" s="216"/>
      <c r="B242" s="216"/>
      <c r="C242" s="98" t="s">
        <v>696</v>
      </c>
      <c r="D242" s="216"/>
      <c r="E242" s="62">
        <f>CHOOSE($B$196,East!E194,London!E194,'North West'!E194,'West Midlands'!E194,Northern!E194,Scotland!E194,Southern!E194,'Wales &amp; West'!E194)</f>
        <v>1.4209217817814224</v>
      </c>
      <c r="F242" s="62">
        <f>CHOOSE($B$196,East!F194,London!F194,'North West'!F194,'West Midlands'!F194,Northern!F194,Scotland!F194,Southern!F194,'Wales &amp; West'!F194)</f>
        <v>1.3777062114634042</v>
      </c>
      <c r="G242" s="216"/>
      <c r="H242" s="216"/>
      <c r="I242" s="216"/>
      <c r="J242" s="216"/>
      <c r="K242" s="216"/>
      <c r="L242" s="216"/>
      <c r="M242" s="216"/>
      <c r="N242" s="216"/>
      <c r="O242" s="216"/>
      <c r="P242" s="216"/>
      <c r="Q242" s="216"/>
      <c r="R242" s="216"/>
      <c r="S242" s="216"/>
      <c r="T242" s="216"/>
      <c r="U242" s="216"/>
      <c r="V242" s="216"/>
      <c r="W242" s="216"/>
      <c r="X242" s="216"/>
      <c r="Y242" s="216"/>
      <c r="Z242" s="216"/>
      <c r="AA242" s="216"/>
      <c r="AB242" s="216"/>
      <c r="AC242" s="216"/>
      <c r="AD242" s="216"/>
      <c r="AE242" s="216"/>
      <c r="AF242" s="216"/>
      <c r="AG242" s="216"/>
      <c r="AH242" s="216"/>
      <c r="AI242" s="216"/>
      <c r="AJ242" s="216"/>
      <c r="AK242" s="216"/>
      <c r="AL242" s="216"/>
      <c r="AM242" s="216"/>
      <c r="AN242" s="216"/>
      <c r="AO242" s="216"/>
      <c r="AP242" s="216"/>
      <c r="AQ242" s="216"/>
      <c r="AR242" s="216"/>
      <c r="AS242" s="216"/>
      <c r="AT242" s="216"/>
      <c r="AU242" s="216"/>
      <c r="AV242" s="216"/>
      <c r="AW242" s="216"/>
      <c r="AX242" s="216"/>
      <c r="AY242" s="216"/>
      <c r="AZ242" s="216"/>
      <c r="BA242" s="216"/>
      <c r="BB242" s="216"/>
      <c r="BC242" s="216"/>
      <c r="BD242" s="216"/>
      <c r="BE242" s="216"/>
      <c r="BF242" s="216"/>
      <c r="BG242" s="216"/>
      <c r="BH242" s="216"/>
      <c r="BI242" s="216"/>
      <c r="BJ242" s="216"/>
      <c r="BK242" s="216"/>
      <c r="BL242" s="216"/>
      <c r="BM242" s="216"/>
      <c r="BN242" s="216"/>
      <c r="BO242" s="216"/>
      <c r="BP242" s="216"/>
      <c r="BQ242" s="216"/>
      <c r="BR242" s="216"/>
      <c r="BS242" s="216"/>
      <c r="BT242" s="216"/>
      <c r="BU242" s="216"/>
      <c r="BV242" s="216"/>
      <c r="BW242" s="216"/>
      <c r="BX242" s="216"/>
      <c r="BY242" s="216"/>
      <c r="BZ242" s="216"/>
      <c r="CA242" s="216"/>
      <c r="CB242" s="216"/>
      <c r="CC242" s="216"/>
      <c r="CD242" s="216"/>
      <c r="CE242" s="216"/>
      <c r="CF242" s="216"/>
      <c r="CG242" s="216"/>
      <c r="CH242" s="216"/>
      <c r="CI242" s="216"/>
      <c r="CJ242" s="216"/>
      <c r="CK242" s="216"/>
      <c r="CL242" s="216"/>
      <c r="CM242" s="216"/>
      <c r="CN242" s="216"/>
      <c r="CO242" s="216"/>
      <c r="CP242" s="216"/>
      <c r="CQ242" s="216"/>
      <c r="CR242" s="216"/>
      <c r="CS242" s="216"/>
      <c r="CT242" s="216"/>
      <c r="CU242" s="216"/>
      <c r="CV242" s="216"/>
      <c r="CW242" s="216"/>
      <c r="CX242" s="216"/>
      <c r="CY242" s="216"/>
      <c r="CZ242" s="216"/>
      <c r="DA242" s="216"/>
      <c r="DB242" s="216"/>
      <c r="DC242" s="216"/>
      <c r="DD242" s="216"/>
      <c r="DE242" s="216"/>
      <c r="DF242" s="216"/>
      <c r="DG242" s="216"/>
      <c r="DH242" s="216"/>
      <c r="DI242" s="216"/>
      <c r="DJ242" s="216"/>
      <c r="DK242" s="216"/>
      <c r="DL242" s="216"/>
      <c r="DM242" s="216"/>
      <c r="DN242" s="216"/>
      <c r="DO242" s="216"/>
      <c r="DP242" s="216"/>
      <c r="DQ242" s="216"/>
      <c r="DR242" s="216"/>
      <c r="DS242" s="216"/>
      <c r="DT242" s="216"/>
      <c r="DU242" s="216"/>
      <c r="DV242" s="216"/>
      <c r="DW242" s="216"/>
      <c r="DX242" s="216"/>
      <c r="DY242" s="216"/>
      <c r="DZ242" s="216"/>
      <c r="EA242" s="216"/>
      <c r="EB242" s="216"/>
      <c r="EC242" s="216"/>
      <c r="ED242" s="216"/>
      <c r="EE242" s="216"/>
      <c r="EF242" s="216"/>
      <c r="EG242" s="216"/>
      <c r="EH242" s="216"/>
      <c r="EI242" s="216"/>
      <c r="EJ242" s="216"/>
      <c r="EK242" s="216"/>
      <c r="EL242" s="216"/>
      <c r="EM242" s="216"/>
      <c r="EN242" s="216"/>
      <c r="EO242" s="216"/>
      <c r="EP242" s="216"/>
      <c r="EQ242" s="216"/>
      <c r="ER242" s="216"/>
      <c r="ES242" s="216"/>
      <c r="ET242" s="216"/>
      <c r="EU242" s="216"/>
      <c r="EV242" s="216"/>
      <c r="EW242" s="216"/>
      <c r="EX242" s="216"/>
      <c r="EY242" s="216"/>
      <c r="EZ242" s="216"/>
      <c r="FA242" s="216"/>
      <c r="FB242" s="216"/>
      <c r="FC242" s="216"/>
      <c r="FD242" s="216"/>
      <c r="FE242" s="216"/>
      <c r="FF242" s="216"/>
      <c r="FG242" s="216"/>
      <c r="FH242" s="216"/>
      <c r="FI242" s="216"/>
      <c r="FJ242" s="216"/>
      <c r="FK242" s="216"/>
      <c r="FL242" s="216"/>
      <c r="FM242" s="216"/>
      <c r="FN242" s="216"/>
      <c r="FO242" s="216"/>
      <c r="FP242" s="216"/>
      <c r="FQ242" s="216"/>
      <c r="FR242" s="216"/>
      <c r="FS242" s="216"/>
      <c r="FT242" s="216"/>
      <c r="FU242" s="216"/>
      <c r="FV242" s="216"/>
      <c r="FW242" s="216"/>
      <c r="FX242" s="216"/>
      <c r="FY242" s="216"/>
      <c r="FZ242" s="216"/>
      <c r="GA242" s="216"/>
      <c r="GB242" s="216"/>
      <c r="GC242" s="216"/>
      <c r="GD242" s="216"/>
      <c r="GE242" s="216"/>
      <c r="GF242" s="216"/>
      <c r="GG242" s="216"/>
      <c r="GH242" s="216"/>
      <c r="GI242" s="216"/>
      <c r="GJ242" s="216"/>
      <c r="GK242" s="216"/>
      <c r="GL242" s="216"/>
      <c r="GM242" s="216"/>
      <c r="GN242" s="216"/>
      <c r="GO242" s="216"/>
      <c r="GP242" s="216"/>
      <c r="GQ242" s="216"/>
      <c r="GR242" s="216"/>
      <c r="GS242" s="216"/>
      <c r="GT242" s="216"/>
      <c r="GU242" s="216"/>
      <c r="GV242" s="216"/>
      <c r="GW242" s="216"/>
      <c r="GX242" s="216"/>
      <c r="GY242" s="216"/>
      <c r="GZ242" s="216"/>
      <c r="HA242" s="216"/>
      <c r="HB242" s="216"/>
      <c r="HC242" s="216"/>
      <c r="HD242" s="216"/>
      <c r="HE242" s="216"/>
      <c r="HF242" s="216"/>
      <c r="HG242" s="216"/>
      <c r="HH242" s="216"/>
      <c r="HI242" s="216"/>
      <c r="HJ242" s="216"/>
      <c r="HK242" s="216"/>
      <c r="HL242" s="216"/>
      <c r="HM242" s="216"/>
      <c r="HN242" s="216"/>
      <c r="HO242" s="216"/>
      <c r="HP242" s="216"/>
      <c r="HQ242" s="216"/>
      <c r="HR242" s="216"/>
      <c r="HS242" s="216"/>
      <c r="HT242" s="216"/>
      <c r="HU242" s="216"/>
      <c r="HV242" s="216"/>
      <c r="HW242" s="216"/>
      <c r="HX242" s="216"/>
      <c r="HY242" s="216"/>
      <c r="HZ242" s="216"/>
      <c r="IA242" s="216"/>
      <c r="IB242" s="216"/>
      <c r="IC242" s="216"/>
      <c r="ID242" s="216"/>
      <c r="IE242" s="216"/>
      <c r="IF242" s="216"/>
      <c r="IG242" s="216"/>
      <c r="IH242" s="216"/>
      <c r="II242" s="216"/>
      <c r="IJ242" s="216"/>
      <c r="IK242" s="216"/>
      <c r="IL242" s="216"/>
      <c r="IM242" s="216"/>
      <c r="IN242" s="216"/>
      <c r="IO242" s="216"/>
      <c r="IP242" s="216"/>
      <c r="IQ242" s="216"/>
      <c r="IR242" s="216"/>
      <c r="IS242" s="216"/>
      <c r="IT242" s="216"/>
      <c r="IU242" s="216"/>
      <c r="IV242" s="216"/>
    </row>
    <row r="243" spans="3:17" ht="14.25">
      <c r="C243" s="202"/>
      <c r="M243" s="71"/>
      <c r="N243" s="71"/>
      <c r="O243" s="71"/>
      <c r="P243" s="71"/>
      <c r="Q243" s="71"/>
    </row>
    <row r="244" spans="3:17" ht="14.25">
      <c r="C244" s="63" t="s">
        <v>693</v>
      </c>
      <c r="D244" s="62">
        <f>CHOOSE($B$196,East!D196,London!D196,'North West'!D196,'West Midlands'!D196,Northern!D196,Scotland!D196,Southern!D196,'Wales &amp; West'!D196)</f>
        <v>1038.010424933289</v>
      </c>
      <c r="M244" s="71"/>
      <c r="N244" s="71"/>
      <c r="O244" s="71"/>
      <c r="P244" s="71"/>
      <c r="Q244" s="71"/>
    </row>
    <row r="245" spans="3:17" ht="14.25">
      <c r="C245" s="63" t="s">
        <v>694</v>
      </c>
      <c r="D245" s="62">
        <f>CHOOSE($B$196,East!D197,London!D197,'North West'!D197,'West Midlands'!D197,Northern!D197,Scotland!D197,Southern!D197,'Wales &amp; West'!D197)</f>
        <v>8.961156189675615</v>
      </c>
      <c r="M245" s="71"/>
      <c r="N245" s="71"/>
      <c r="O245" s="71"/>
      <c r="P245" s="71"/>
      <c r="Q245" s="71"/>
    </row>
    <row r="246" spans="4:17" ht="14.25">
      <c r="D246" s="44"/>
      <c r="M246" s="71"/>
      <c r="N246" s="71"/>
      <c r="O246" s="71"/>
      <c r="P246" s="71"/>
      <c r="Q246" s="71"/>
    </row>
    <row r="247" spans="3:17" ht="14.25">
      <c r="C247" s="63" t="s">
        <v>695</v>
      </c>
      <c r="D247" s="200">
        <v>0.16917293233082706</v>
      </c>
      <c r="M247" s="71"/>
      <c r="N247" s="71"/>
      <c r="O247" s="71"/>
      <c r="P247" s="71"/>
      <c r="Q247" s="71"/>
    </row>
    <row r="248" spans="13:17" ht="14.25">
      <c r="M248" s="71"/>
      <c r="N248" s="71"/>
      <c r="O248" s="71"/>
      <c r="P248" s="71"/>
      <c r="Q248" s="71"/>
    </row>
    <row r="249" spans="3:17" ht="14.25">
      <c r="C249" s="63" t="s">
        <v>241</v>
      </c>
      <c r="D249" s="63" t="s">
        <v>242</v>
      </c>
      <c r="E249" s="62">
        <f>CHOOSE($B$196,East!E199,London!E199,'North West'!E199,'West Midlands'!E199,Northern!E199,Scotland!E199,Southern!E199,'Wales &amp; West'!E199)</f>
        <v>1078.6930247583834</v>
      </c>
      <c r="M249" s="71"/>
      <c r="N249" s="71"/>
      <c r="O249" s="71"/>
      <c r="P249" s="71"/>
      <c r="Q249" s="71"/>
    </row>
    <row r="250" spans="3:17" ht="14.25">
      <c r="C250" s="63" t="s">
        <v>243</v>
      </c>
      <c r="D250" s="63" t="s">
        <v>248</v>
      </c>
      <c r="E250" s="62">
        <f>CHOOSE($B$196,East!E200,London!E200,'North West'!E200,'West Midlands'!E200,Northern!E200,Scotland!E200,Southern!E200,'Wales &amp; West'!E200)</f>
        <v>1094.6490433564213</v>
      </c>
      <c r="M250" s="71"/>
      <c r="N250" s="71"/>
      <c r="O250" s="71"/>
      <c r="P250" s="71"/>
      <c r="Q250" s="71"/>
    </row>
    <row r="251" spans="3:17" ht="14.25">
      <c r="C251" s="63" t="s">
        <v>249</v>
      </c>
      <c r="D251" s="63" t="s">
        <v>250</v>
      </c>
      <c r="E251" s="62">
        <f>CHOOSE($B$196,East!E201,London!E201,'North West'!E201,'West Midlands'!E201,Northern!E201,Scotland!E201,Southern!E201,'Wales &amp; West'!E201)</f>
        <v>1038.010424933289</v>
      </c>
      <c r="M251" s="71"/>
      <c r="N251" s="71"/>
      <c r="O251" s="71"/>
      <c r="P251" s="71"/>
      <c r="Q251" s="71"/>
    </row>
    <row r="252" spans="3:17" ht="14.25">
      <c r="C252" s="63" t="s">
        <v>251</v>
      </c>
      <c r="D252" s="63" t="s">
        <v>252</v>
      </c>
      <c r="E252" s="62">
        <f>CHOOSE($B$196,East!E202,London!E202,'North West'!E202,'West Midlands'!E202,Northern!E202,Scotland!E202,Southern!E202,'Wales &amp; West'!E202)</f>
        <v>-107.31310784084752</v>
      </c>
      <c r="M252" s="71"/>
      <c r="N252" s="71"/>
      <c r="O252" s="71"/>
      <c r="P252" s="71"/>
      <c r="Q252" s="71"/>
    </row>
    <row r="253" spans="3:17" ht="14.25">
      <c r="C253" s="63" t="s">
        <v>253</v>
      </c>
      <c r="D253" s="63" t="s">
        <v>254</v>
      </c>
      <c r="E253" s="62">
        <f>CHOOSE($B$196,East!E203,London!E203,'North West'!E203,'West Midlands'!E203,Northern!E203,Scotland!E203,Southern!E203,'Wales &amp; West'!E203)</f>
        <v>152.05981406091968</v>
      </c>
      <c r="M253" s="71"/>
      <c r="N253" s="71"/>
      <c r="O253" s="71"/>
      <c r="P253" s="71"/>
      <c r="Q253" s="71"/>
    </row>
    <row r="254" spans="3:17" ht="14.25">
      <c r="C254" s="63" t="s">
        <v>255</v>
      </c>
      <c r="D254" s="63" t="s">
        <v>256</v>
      </c>
      <c r="E254" s="62">
        <f>CHOOSE($B$196,East!E204,London!E204,'North West'!E204,'West Midlands'!E204,Northern!E204,Scotland!E204,Southern!E204,'Wales &amp; West'!E204)</f>
        <v>-4.064106394977474</v>
      </c>
      <c r="M254" s="71"/>
      <c r="N254" s="71"/>
      <c r="O254" s="71"/>
      <c r="P254" s="71"/>
      <c r="Q254" s="71"/>
    </row>
    <row r="255" spans="3:17" ht="14.25">
      <c r="C255" s="63" t="s">
        <v>257</v>
      </c>
      <c r="D255" s="63" t="s">
        <v>260</v>
      </c>
      <c r="E255" s="62">
        <f>CHOOSE($B$196,East!E205,London!E205,'North West'!E205,'West Midlands'!E205,Northern!E205,Scotland!E205,Southern!E205,'Wales &amp; West'!E205)</f>
        <v>1190.0702389942085</v>
      </c>
      <c r="M255" s="71"/>
      <c r="N255" s="71"/>
      <c r="O255" s="71"/>
      <c r="P255" s="71"/>
      <c r="Q255" s="71"/>
    </row>
    <row r="256" spans="3:17" ht="14.25">
      <c r="C256" s="63" t="s">
        <v>261</v>
      </c>
      <c r="D256" s="63" t="s">
        <v>262</v>
      </c>
      <c r="E256" s="62">
        <f>CHOOSE($B$196,East!E206,London!E206,'North West'!E206,'West Midlands'!E206,Northern!E206,Scotland!E206,Southern!E206,'Wales &amp; West'!E206)</f>
        <v>-149.2265922183803</v>
      </c>
      <c r="M256" s="71"/>
      <c r="N256" s="71"/>
      <c r="O256" s="71"/>
      <c r="P256" s="71"/>
      <c r="Q256" s="71"/>
    </row>
    <row r="257" spans="3:17" ht="14.25">
      <c r="C257" s="63" t="s">
        <v>263</v>
      </c>
      <c r="D257" s="63" t="s">
        <v>264</v>
      </c>
      <c r="E257" s="62">
        <f>CHOOSE($B$196,East!E207,London!E207,'North West'!E207,'West Midlands'!E207,Northern!E207,Scotland!E207,Southern!E207,'Wales &amp; West'!E207)</f>
        <v>35.88009454281444</v>
      </c>
      <c r="M257" s="71"/>
      <c r="N257" s="71"/>
      <c r="O257" s="71"/>
      <c r="P257" s="71"/>
      <c r="Q257" s="71"/>
    </row>
    <row r="258" spans="3:17" ht="14.25">
      <c r="C258" s="63" t="s">
        <v>265</v>
      </c>
      <c r="D258" s="63" t="s">
        <v>266</v>
      </c>
      <c r="E258" s="62">
        <f>CHOOSE($B$196,East!E208,London!E208,'North West'!E208,'West Midlands'!E208,Northern!E208,Scotland!E208,Southern!E208,'Wales &amp; West'!E208)</f>
        <v>50.68769294245398</v>
      </c>
      <c r="M258" s="71"/>
      <c r="N258" s="71"/>
      <c r="O258" s="71"/>
      <c r="P258" s="71"/>
      <c r="Q258" s="71"/>
    </row>
    <row r="259" spans="3:17" ht="14.25">
      <c r="C259" s="63" t="s">
        <v>267</v>
      </c>
      <c r="D259" s="63" t="s">
        <v>268</v>
      </c>
      <c r="G259" s="62">
        <f>CHOOSE($B$196,East!G209,London!G209,'North West'!G209,'West Midlands'!G209,Northern!G209,Scotland!G209,Southern!G209,'Wales &amp; West'!G209)</f>
        <v>-17.424428283689153</v>
      </c>
      <c r="H259" s="62">
        <f>CHOOSE($B$196,East!H209,London!H209,'North West'!H209,'West Midlands'!H209,Northern!H209,Scotland!H209,Southern!H209,'Wales &amp; West'!H209)</f>
        <v>-21.88538328589717</v>
      </c>
      <c r="I259" s="62">
        <f>CHOOSE($B$196,East!I209,London!I209,'North West'!I209,'West Midlands'!I209,Northern!I209,Scotland!I209,Southern!I209,'Wales &amp; West'!I209)</f>
        <v>-11.377881372867659</v>
      </c>
      <c r="J259" s="62">
        <f>CHOOSE($B$196,East!J209,London!J209,'North West'!J209,'West Midlands'!J209,Northern!J209,Scotland!J209,Southern!J209,'Wales &amp; West'!J209)</f>
        <v>-26.067753840595802</v>
      </c>
      <c r="K259" s="62">
        <f>CHOOSE($B$196,East!K209,London!K209,'North West'!K209,'West Midlands'!K209,Northern!K209,Scotland!K209,Southern!K209,'Wales &amp; West'!K209)</f>
        <v>-24.359719102207237</v>
      </c>
      <c r="M259" s="71"/>
      <c r="N259" s="71"/>
      <c r="O259" s="71"/>
      <c r="P259" s="71"/>
      <c r="Q259" s="71"/>
    </row>
    <row r="260" spans="3:17" ht="14.25">
      <c r="C260" s="63" t="s">
        <v>269</v>
      </c>
      <c r="D260" s="63" t="s">
        <v>270</v>
      </c>
      <c r="E260" s="62">
        <f>CHOOSE($B$196,East!E210,London!E210,'North West'!E210,'West Midlands'!E210,Northern!E210,Scotland!E210,Southern!E210,'Wales &amp; West'!E210)</f>
        <v>-1.2607608856283439</v>
      </c>
      <c r="M260" s="71"/>
      <c r="N260" s="71"/>
      <c r="O260" s="71"/>
      <c r="P260" s="71"/>
      <c r="Q260" s="71"/>
    </row>
    <row r="261" spans="3:17" ht="14.25">
      <c r="C261" s="63" t="s">
        <v>271</v>
      </c>
      <c r="D261" s="63" t="s">
        <v>272</v>
      </c>
      <c r="E261" s="62">
        <f>CHOOSE($B$196,East!E211,London!E211,'North West'!E211,'West Midlands'!E211,Northern!E211,Scotland!E211,Southern!E211,'Wales &amp; West'!E211)</f>
        <v>16.985155905269362</v>
      </c>
      <c r="M261" s="71"/>
      <c r="N261" s="71"/>
      <c r="O261" s="71"/>
      <c r="P261" s="71"/>
      <c r="Q261" s="71"/>
    </row>
    <row r="262" spans="3:17" ht="14.25">
      <c r="C262" s="63" t="s">
        <v>273</v>
      </c>
      <c r="D262" s="63" t="s">
        <v>274</v>
      </c>
      <c r="E262" s="62">
        <f>CHOOSE($B$196,East!E212,London!E212,'North West'!E212,'West Midlands'!E212,Northern!E212,Scotland!E212,Southern!E212,'Wales &amp; West'!E212)</f>
        <v>-1.0291373072315513</v>
      </c>
      <c r="M262" s="71"/>
      <c r="N262" s="71"/>
      <c r="O262" s="71"/>
      <c r="P262" s="71"/>
      <c r="Q262" s="71"/>
    </row>
    <row r="263" spans="3:17" ht="14.25">
      <c r="C263" s="63" t="s">
        <v>275</v>
      </c>
      <c r="D263" s="63" t="s">
        <v>282</v>
      </c>
      <c r="E263" s="62">
        <f>CHOOSE($B$196,East!E213,London!E213,'North West'!E213,'West Midlands'!E213,Northern!E213,Scotland!E213,Southern!E213,'Wales &amp; West'!E213)</f>
        <v>-0.4758933592100245</v>
      </c>
      <c r="M263" s="71"/>
      <c r="N263" s="71"/>
      <c r="O263" s="71"/>
      <c r="P263" s="71"/>
      <c r="Q263" s="71"/>
    </row>
    <row r="264" spans="3:17" ht="14.25">
      <c r="C264" s="63" t="s">
        <v>443</v>
      </c>
      <c r="D264" s="63" t="s">
        <v>283</v>
      </c>
      <c r="G264" s="62">
        <f>CHOOSE($B$196,East!G214,London!G214,'North West'!G214,'West Midlands'!G214,Northern!G214,Scotland!G214,Southern!G214,'Wales &amp; West'!G214)</f>
        <v>5.769564498636</v>
      </c>
      <c r="M264" s="71"/>
      <c r="N264" s="71"/>
      <c r="O264" s="71"/>
      <c r="P264" s="71"/>
      <c r="Q264" s="71"/>
    </row>
    <row r="265" spans="7:17" ht="14.25">
      <c r="G265" s="44"/>
      <c r="M265" s="71"/>
      <c r="N265" s="71"/>
      <c r="O265" s="71"/>
      <c r="P265" s="71"/>
      <c r="Q265" s="71"/>
    </row>
    <row r="266" spans="3:17" ht="14.25">
      <c r="C266" s="259" t="s">
        <v>413</v>
      </c>
      <c r="D266" s="77"/>
      <c r="E266" s="44"/>
      <c r="F266" s="77"/>
      <c r="H266" s="77"/>
      <c r="M266" s="71"/>
      <c r="N266" s="71"/>
      <c r="O266" s="71"/>
      <c r="P266" s="71"/>
      <c r="Q266" s="71"/>
    </row>
    <row r="267" spans="3:17" ht="14.25">
      <c r="C267" s="63" t="s">
        <v>241</v>
      </c>
      <c r="D267" s="77" t="s">
        <v>284</v>
      </c>
      <c r="E267" s="62">
        <f>CHOOSE($B$196,East!E217,London!E217,'North West'!E217,'West Midlands'!E217,Northern!E217,Scotland!E217,Southern!E217,'Wales &amp; West'!E217)</f>
        <v>1064.113827437585</v>
      </c>
      <c r="F267" s="131"/>
      <c r="H267" s="131"/>
      <c r="M267" s="71"/>
      <c r="N267" s="71"/>
      <c r="O267" s="71"/>
      <c r="P267" s="71"/>
      <c r="Q267" s="71"/>
    </row>
    <row r="268" spans="3:17" ht="14.25">
      <c r="C268" s="63" t="s">
        <v>243</v>
      </c>
      <c r="D268" s="77" t="s">
        <v>285</v>
      </c>
      <c r="E268" s="62">
        <f>CHOOSE($B$196,East!E218,London!E218,'North West'!E218,'West Midlands'!E218,Northern!E218,Scotland!E218,Southern!E218,'Wales &amp; West'!E218)</f>
        <v>1079.8541906654148</v>
      </c>
      <c r="F268" s="131"/>
      <c r="H268" s="131"/>
      <c r="M268" s="71"/>
      <c r="N268" s="71"/>
      <c r="O268" s="71"/>
      <c r="P268" s="71"/>
      <c r="Q268" s="71"/>
    </row>
    <row r="269" spans="3:17" ht="14.25">
      <c r="C269" s="63" t="s">
        <v>286</v>
      </c>
      <c r="D269" s="77" t="s">
        <v>287</v>
      </c>
      <c r="E269" s="62">
        <f>CHOOSE($B$196,East!E219,London!E219,'North West'!E219,'West Midlands'!E219,Northern!E219,Scotland!E219,Southern!E219,'Wales &amp; West'!E219)</f>
        <v>1128.6130874435476</v>
      </c>
      <c r="F269" s="131"/>
      <c r="H269" s="131"/>
      <c r="M269" s="71"/>
      <c r="N269" s="71"/>
      <c r="O269" s="71"/>
      <c r="P269" s="71"/>
      <c r="Q269" s="71"/>
    </row>
    <row r="270" spans="3:17" ht="14.25">
      <c r="C270" s="63" t="s">
        <v>249</v>
      </c>
      <c r="D270" s="77" t="s">
        <v>288</v>
      </c>
      <c r="E270" s="62">
        <f>CHOOSE($B$196,East!E220,London!E220,'North West'!E220,'West Midlands'!E220,Northern!E220,Scotland!E220,Southern!E220,'Wales &amp; West'!E220)</f>
        <v>1023.9810778819922</v>
      </c>
      <c r="F270" s="131"/>
      <c r="H270" s="131"/>
      <c r="M270" s="71"/>
      <c r="N270" s="71"/>
      <c r="O270" s="71"/>
      <c r="P270" s="71"/>
      <c r="Q270" s="71"/>
    </row>
    <row r="271" spans="3:17" ht="14.25">
      <c r="C271" s="63" t="s">
        <v>251</v>
      </c>
      <c r="D271" s="77" t="s">
        <v>289</v>
      </c>
      <c r="E271" s="62">
        <f>CHOOSE($B$196,East!E221,London!E221,'North West'!E221,'West Midlands'!E221,Northern!E221,Scotland!E221,Southern!E221,'Wales &amp; West'!E221)</f>
        <v>-105.8627054201308</v>
      </c>
      <c r="F271" s="131"/>
      <c r="H271" s="131"/>
      <c r="M271" s="71"/>
      <c r="N271" s="71"/>
      <c r="O271" s="71"/>
      <c r="P271" s="71"/>
      <c r="Q271" s="71"/>
    </row>
    <row r="272" spans="3:17" ht="14.25">
      <c r="C272" s="63" t="s">
        <v>253</v>
      </c>
      <c r="D272" s="77" t="s">
        <v>290</v>
      </c>
      <c r="E272" s="62">
        <f>CHOOSE($B$196,East!E222,London!E222,'North West'!E222,'West Midlands'!E222,Northern!E222,Scotland!E222,Southern!E222,'Wales &amp; West'!E222)</f>
        <v>150.00463248203198</v>
      </c>
      <c r="F272" s="131"/>
      <c r="H272" s="131"/>
      <c r="M272" s="71"/>
      <c r="N272" s="71"/>
      <c r="O272" s="71"/>
      <c r="P272" s="71"/>
      <c r="Q272" s="71"/>
    </row>
    <row r="273" spans="3:17" ht="14.25">
      <c r="C273" s="63" t="s">
        <v>255</v>
      </c>
      <c r="D273" s="77" t="s">
        <v>291</v>
      </c>
      <c r="E273" s="62">
        <f>CHOOSE($B$196,East!E223,London!E223,'North West'!E223,'West Midlands'!E223,Northern!E223,Scotland!E223,Southern!E223,'Wales &amp; West'!E223)</f>
        <v>-4.009177506308367</v>
      </c>
      <c r="F273" s="131"/>
      <c r="H273" s="131"/>
      <c r="M273" s="71"/>
      <c r="N273" s="71"/>
      <c r="O273" s="71"/>
      <c r="P273" s="71"/>
      <c r="Q273" s="71"/>
    </row>
    <row r="274" spans="3:17" ht="14.25">
      <c r="C274" s="63" t="s">
        <v>265</v>
      </c>
      <c r="D274" s="77" t="s">
        <v>292</v>
      </c>
      <c r="E274" s="62">
        <f>CHOOSE($B$196,East!E224,London!E224,'North West'!E224,'West Midlands'!E224,Northern!E224,Scotland!E224,Southern!E224,'Wales &amp; West'!E224)</f>
        <v>50.002617707718315</v>
      </c>
      <c r="F274" s="131"/>
      <c r="H274" s="131"/>
      <c r="M274" s="71"/>
      <c r="N274" s="71"/>
      <c r="O274" s="71"/>
      <c r="P274" s="71"/>
      <c r="Q274" s="71"/>
    </row>
    <row r="275" spans="3:17" ht="14.25">
      <c r="C275" s="121" t="s">
        <v>293</v>
      </c>
      <c r="D275" s="77" t="s">
        <v>294</v>
      </c>
      <c r="E275" s="131"/>
      <c r="F275" s="131"/>
      <c r="G275" s="62">
        <f>CHOOSE($B$196,East!G225,London!G225,'North West'!G225,'West Midlands'!G225,Northern!G225,Scotland!G225,Southern!G225,'Wales &amp; West'!G225)</f>
        <v>-18.48570914650939</v>
      </c>
      <c r="H275" s="62">
        <f>CHOOSE($B$196,East!H225,London!H225,'North West'!H225,'West Midlands'!H225,Northern!H225,Scotland!H225,Southern!H225,'Wales &amp; West'!H225)</f>
        <v>-23.79882966494381</v>
      </c>
      <c r="I275" s="62">
        <f>CHOOSE($B$196,East!I225,London!I225,'North West'!I225,'West Midlands'!I225,Northern!I225,Scotland!I225,Southern!I225,'Wales &amp; West'!I225)</f>
        <v>-12.681969679653104</v>
      </c>
      <c r="J275" s="62">
        <f>CHOOSE($B$196,East!J225,London!J225,'North West'!J225,'West Midlands'!J225,Northern!J225,Scotland!J225,Southern!J225,'Wales &amp; West'!J225)</f>
        <v>-29.78192638101567</v>
      </c>
      <c r="K275" s="62">
        <f>CHOOSE($B$196,East!K225,London!K225,'North West'!K225,'West Midlands'!K225,Northern!K225,Scotland!K225,Southern!K225,'Wales &amp; West'!K225)</f>
        <v>-28.52629150695037</v>
      </c>
      <c r="M275" s="71"/>
      <c r="N275" s="71"/>
      <c r="O275" s="71"/>
      <c r="P275" s="71"/>
      <c r="Q275" s="71"/>
    </row>
    <row r="276" spans="3:17" ht="14.25">
      <c r="C276" s="63" t="s">
        <v>269</v>
      </c>
      <c r="D276" s="77" t="s">
        <v>295</v>
      </c>
      <c r="E276" s="62">
        <f>CHOOSE($B$196,East!E226,London!E226,'North West'!E226,'West Midlands'!E226,Northern!E226,Scotland!E226,Southern!E226,'Wales &amp; West'!E226)</f>
        <v>-1.243720929585208</v>
      </c>
      <c r="F276" s="131"/>
      <c r="H276" s="131"/>
      <c r="M276" s="71"/>
      <c r="N276" s="71"/>
      <c r="O276" s="71"/>
      <c r="P276" s="71"/>
      <c r="Q276" s="71"/>
    </row>
    <row r="277" spans="3:17" ht="14.25">
      <c r="C277" s="77" t="s">
        <v>271</v>
      </c>
      <c r="D277" s="77" t="s">
        <v>296</v>
      </c>
      <c r="E277" s="62">
        <f>CHOOSE($B$196,East!E227,London!E227,'North West'!E227,'West Midlands'!E227,Northern!E227,Scotland!E227,Southern!E227,'Wales &amp; West'!E227)</f>
        <v>16.75559111363375</v>
      </c>
      <c r="F277" s="131"/>
      <c r="H277" s="131"/>
      <c r="M277" s="71"/>
      <c r="N277" s="71"/>
      <c r="O277" s="71"/>
      <c r="P277" s="71"/>
      <c r="Q277" s="71"/>
    </row>
    <row r="278" spans="3:17" ht="14.25">
      <c r="C278" s="77" t="s">
        <v>273</v>
      </c>
      <c r="D278" s="77" t="s">
        <v>296</v>
      </c>
      <c r="E278" s="62">
        <f>CHOOSE($B$196,East!E228,London!E228,'North West'!E228,'West Midlands'!E228,Northern!E228,Scotland!E228,Southern!E228,'Wales &amp; West'!E228)</f>
        <v>-1.0152278858040005</v>
      </c>
      <c r="F278" s="131"/>
      <c r="H278" s="131"/>
      <c r="M278" s="71"/>
      <c r="N278" s="71"/>
      <c r="O278" s="71"/>
      <c r="P278" s="71"/>
      <c r="Q278" s="71"/>
    </row>
    <row r="279" spans="3:17" ht="14.25">
      <c r="C279" s="77" t="s">
        <v>275</v>
      </c>
      <c r="D279" s="77" t="s">
        <v>296</v>
      </c>
      <c r="E279" s="62">
        <f>CHOOSE($B$196,East!E229,London!E229,'North West'!E229,'West Midlands'!E229,Northern!E229,Scotland!E229,Southern!E229,'Wales &amp; West'!E229)</f>
        <v>-0.4805510074359421</v>
      </c>
      <c r="F279" s="131"/>
      <c r="H279" s="131"/>
      <c r="M279" s="71"/>
      <c r="N279" s="71"/>
      <c r="O279" s="71"/>
      <c r="P279" s="71"/>
      <c r="Q279" s="71"/>
    </row>
    <row r="280" spans="13:17" ht="14.25">
      <c r="M280" s="71"/>
      <c r="N280" s="71"/>
      <c r="O280" s="71"/>
      <c r="P280" s="71"/>
      <c r="Q280" s="71"/>
    </row>
    <row r="281" spans="3:17" ht="14.25">
      <c r="C281" s="524" t="s">
        <v>688</v>
      </c>
      <c r="M281" s="71"/>
      <c r="N281" s="71"/>
      <c r="O281" s="71"/>
      <c r="P281" s="71"/>
      <c r="Q281" s="71"/>
    </row>
    <row r="282" spans="3:17" ht="14.25">
      <c r="C282" s="77" t="s">
        <v>107</v>
      </c>
      <c r="G282" s="472">
        <f>CHOOSE($B$196,East!G232,London!G232,'North West'!G232,'West Midlands'!G232,Northern!G232,Scotland!G232,Southern!G232,'Wales &amp; West'!G232)</f>
        <v>-6.764022471406214</v>
      </c>
      <c r="M282" s="71"/>
      <c r="N282" s="71"/>
      <c r="O282" s="71"/>
      <c r="P282" s="71"/>
      <c r="Q282" s="71"/>
    </row>
    <row r="283" spans="3:17" ht="14.25">
      <c r="C283" s="63" t="s">
        <v>26</v>
      </c>
      <c r="G283" s="472">
        <f>CHOOSE($B$196,East!G233,London!G233,'North West'!G233,'West Midlands'!G233,Northern!G233,Scotland!G233,Southern!G233,'Wales &amp; West'!G233)</f>
        <v>0</v>
      </c>
      <c r="M283" s="71"/>
      <c r="N283" s="71"/>
      <c r="O283" s="71"/>
      <c r="P283" s="71"/>
      <c r="Q283" s="71"/>
    </row>
    <row r="284" spans="3:17" ht="14.25">
      <c r="C284" s="63" t="s">
        <v>140</v>
      </c>
      <c r="G284" s="472">
        <f>CHOOSE($B$196,East!G234,London!G234,'North West'!G234,'West Midlands'!G234,Northern!G234,Scotland!G234,Southern!G234,'Wales &amp; West'!G234)</f>
        <v>37.30887818171393</v>
      </c>
      <c r="M284" s="71"/>
      <c r="N284" s="71"/>
      <c r="O284" s="71"/>
      <c r="P284" s="71"/>
      <c r="Q284" s="71"/>
    </row>
    <row r="285" spans="3:17" ht="14.25">
      <c r="C285" s="69"/>
      <c r="G285" s="472"/>
      <c r="M285" s="71"/>
      <c r="N285" s="71"/>
      <c r="O285" s="71"/>
      <c r="P285" s="71"/>
      <c r="Q285" s="71"/>
    </row>
    <row r="286" spans="3:17" ht="14.25">
      <c r="C286" s="63" t="s">
        <v>245</v>
      </c>
      <c r="G286" s="472">
        <f>CHOOSE($B$196,East!G236,London!G236,'North West'!G236,'West Midlands'!G236,Northern!G236,Scotland!G236,Southern!G236,'Wales &amp; West'!G236)</f>
        <v>5.769564498636</v>
      </c>
      <c r="M286" s="71"/>
      <c r="N286" s="71"/>
      <c r="O286" s="71"/>
      <c r="P286" s="71"/>
      <c r="Q286" s="71"/>
    </row>
    <row r="287" spans="3:17" ht="14.25">
      <c r="C287" s="63" t="s">
        <v>246</v>
      </c>
      <c r="G287" s="472">
        <f>CHOOSE($B$196,East!G237,London!G237,'North West'!G237,'West Midlands'!G237,Northern!G237,Scotland!G237,Southern!G237,'Wales &amp; West'!G237)</f>
        <v>5.85132228499401</v>
      </c>
      <c r="M287" s="71"/>
      <c r="N287" s="71"/>
      <c r="O287" s="71"/>
      <c r="P287" s="71"/>
      <c r="Q287" s="71"/>
    </row>
  </sheetData>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68" r:id="rId2"/>
  <headerFooter alignWithMargins="0">
    <oddHeader>&amp;L&amp;F&amp;R&amp;A</oddHeader>
    <oddFooter>&amp;L&amp;D&amp;T&amp;CPage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8"/>
  <dimension ref="A1:AD95"/>
  <sheetViews>
    <sheetView zoomScale="70" zoomScaleNormal="70" workbookViewId="0" topLeftCell="A1">
      <selection activeCell="A1" sqref="A1"/>
    </sheetView>
  </sheetViews>
  <sheetFormatPr defaultColWidth="9.00390625" defaultRowHeight="15"/>
  <cols>
    <col min="1" max="1" width="4.00390625" style="121" customWidth="1"/>
    <col min="2" max="2" width="63.375" style="77" customWidth="1"/>
    <col min="3" max="7" width="50.625" style="77" hidden="1" customWidth="1"/>
    <col min="8" max="8" width="9.625" style="77" customWidth="1"/>
    <col min="9" max="10" width="8.50390625" style="77" bestFit="1" customWidth="1"/>
    <col min="11" max="11" width="8.75390625" style="77" bestFit="1" customWidth="1"/>
    <col min="12" max="12" width="8.50390625" style="77" bestFit="1" customWidth="1"/>
    <col min="13" max="13" width="8.75390625" style="77" bestFit="1" customWidth="1"/>
    <col min="14" max="15" width="8.125" style="77" bestFit="1" customWidth="1"/>
    <col min="16" max="16" width="10.25390625" style="77" bestFit="1" customWidth="1"/>
    <col min="17" max="17" width="28.125" style="77" bestFit="1" customWidth="1"/>
    <col min="18" max="18" width="8.125" style="77" bestFit="1" customWidth="1"/>
    <col min="19" max="22" width="6.75390625" style="77" bestFit="1" customWidth="1"/>
    <col min="23" max="23" width="11.75390625" style="77" bestFit="1" customWidth="1"/>
    <col min="24" max="26" width="3.50390625" style="77" bestFit="1" customWidth="1"/>
    <col min="27" max="27" width="3.50390625" style="77" customWidth="1"/>
    <col min="28" max="29" width="8.125" style="77" bestFit="1" customWidth="1"/>
    <col min="30" max="16384" width="9.00390625" style="77" customWidth="1"/>
  </cols>
  <sheetData>
    <row r="1" spans="1:17" ht="18">
      <c r="A1" s="313" t="str">
        <f>'GDN data output sheet'!C4</f>
        <v>Wales &amp; West</v>
      </c>
      <c r="Q1" s="347"/>
    </row>
    <row r="2" spans="1:17" ht="12.75">
      <c r="A2" s="122"/>
      <c r="Q2" s="347"/>
    </row>
    <row r="3" spans="1:17" ht="12.75">
      <c r="A3" s="122" t="s">
        <v>624</v>
      </c>
      <c r="H3" s="348"/>
      <c r="I3" s="348"/>
      <c r="J3" s="348"/>
      <c r="K3" s="348"/>
      <c r="L3" s="348"/>
      <c r="M3" s="348"/>
      <c r="N3" s="348"/>
      <c r="O3" s="348"/>
      <c r="P3" s="348"/>
      <c r="Q3" s="347"/>
    </row>
    <row r="4" spans="1:17" ht="12.75">
      <c r="A4" s="122"/>
      <c r="H4" s="348"/>
      <c r="I4" s="348"/>
      <c r="J4" s="348"/>
      <c r="K4" s="348"/>
      <c r="L4" s="348"/>
      <c r="M4" s="348"/>
      <c r="N4" s="348"/>
      <c r="O4" s="348"/>
      <c r="P4" s="348"/>
      <c r="Q4" s="347"/>
    </row>
    <row r="5" spans="1:17" ht="12.75">
      <c r="A5" s="122"/>
      <c r="B5" s="110" t="s">
        <v>617</v>
      </c>
      <c r="C5" s="110"/>
      <c r="D5" s="110"/>
      <c r="E5" s="110"/>
      <c r="F5" s="110"/>
      <c r="G5" s="110"/>
      <c r="H5" s="396" t="s">
        <v>92</v>
      </c>
      <c r="I5" s="396" t="s">
        <v>93</v>
      </c>
      <c r="J5" s="396" t="s">
        <v>94</v>
      </c>
      <c r="K5" s="396" t="s">
        <v>95</v>
      </c>
      <c r="L5" s="396" t="s">
        <v>131</v>
      </c>
      <c r="M5" s="412" t="s">
        <v>78</v>
      </c>
      <c r="N5" s="348"/>
      <c r="O5" s="348"/>
      <c r="P5" s="348"/>
      <c r="Q5" s="347"/>
    </row>
    <row r="6" spans="1:17" ht="12.75">
      <c r="A6" s="122"/>
      <c r="H6" s="348"/>
      <c r="I6" s="348"/>
      <c r="J6" s="348"/>
      <c r="K6" s="348"/>
      <c r="L6" s="348"/>
      <c r="M6" s="348"/>
      <c r="N6" s="348"/>
      <c r="O6" s="348"/>
      <c r="P6" s="348"/>
      <c r="Q6" s="347"/>
    </row>
    <row r="7" spans="2:17" ht="12.75">
      <c r="B7" s="77" t="s">
        <v>98</v>
      </c>
      <c r="H7" s="131">
        <f>-Input!H91</f>
        <v>99.36922872025556</v>
      </c>
      <c r="I7" s="131">
        <f>-Input!I91</f>
        <v>105.73890697575735</v>
      </c>
      <c r="J7" s="131">
        <f>-Input!J91</f>
        <v>99.2418941751653</v>
      </c>
      <c r="K7" s="131">
        <f>-Input!K91</f>
        <v>101.32011665482578</v>
      </c>
      <c r="L7" s="131">
        <f>-Input!L91</f>
        <v>100.66433607005182</v>
      </c>
      <c r="M7" s="349">
        <f>+SUM(H7:L7)</f>
        <v>506.3344825960558</v>
      </c>
      <c r="N7" s="350"/>
      <c r="O7" s="350"/>
      <c r="P7" s="350"/>
      <c r="Q7" s="347"/>
    </row>
    <row r="8" spans="2:17" ht="12.75">
      <c r="B8" s="77" t="s">
        <v>97</v>
      </c>
      <c r="H8" s="131">
        <f>-Input!H90</f>
        <v>113.0272601528876</v>
      </c>
      <c r="I8" s="131">
        <f>-Input!I90</f>
        <v>124.52311562721258</v>
      </c>
      <c r="J8" s="131">
        <f>-Input!J90</f>
        <v>116.80552962848728</v>
      </c>
      <c r="K8" s="131">
        <f>-Input!K90</f>
        <v>122.59214205544752</v>
      </c>
      <c r="L8" s="131">
        <f>-Input!L90</f>
        <v>125.24876451702082</v>
      </c>
      <c r="M8" s="349">
        <f>+SUM(H8:L8)</f>
        <v>602.1968119810558</v>
      </c>
      <c r="N8" s="350"/>
      <c r="O8" s="350"/>
      <c r="P8" s="350"/>
      <c r="Q8" s="347"/>
    </row>
    <row r="9" spans="8:17" ht="12.75">
      <c r="H9" s="349"/>
      <c r="I9" s="349"/>
      <c r="J9" s="349"/>
      <c r="K9" s="349"/>
      <c r="L9" s="349"/>
      <c r="M9" s="349"/>
      <c r="N9" s="350"/>
      <c r="O9" s="350"/>
      <c r="P9" s="350"/>
      <c r="Q9" s="347"/>
    </row>
    <row r="10" spans="2:17" ht="12.75">
      <c r="B10" s="77" t="s">
        <v>99</v>
      </c>
      <c r="H10" s="349">
        <f>CHOOSE(Input!$B$196,SUM('East:West Midlands'!H41),SUM('East:West Midlands'!H41),SUM('East:West Midlands'!H41),SUM('East:West Midlands'!H41),SUM(Northern!H41),SUM(Scotland:Southern!H41),SUM(Scotland:Southern!H41),SUM('Wales &amp; West'!H41))</f>
        <v>99.36922872025556</v>
      </c>
      <c r="I10" s="349">
        <f>CHOOSE(Input!$B$196,SUM('East:West Midlands'!I41),SUM('East:West Midlands'!I41),SUM('East:West Midlands'!I41),SUM('East:West Midlands'!I41),SUM(Northern!I41),SUM(Scotland:Southern!I41),SUM(Scotland:Southern!I41),SUM('Wales &amp; West'!I41))</f>
        <v>105.73890697575735</v>
      </c>
      <c r="J10" s="349">
        <f>CHOOSE(Input!$B$196,SUM('East:West Midlands'!J41),SUM('East:West Midlands'!J41),SUM('East:West Midlands'!J41),SUM('East:West Midlands'!J41),SUM(Northern!J41),SUM(Scotland:Southern!J41),SUM(Scotland:Southern!J41),SUM('Wales &amp; West'!J41))</f>
        <v>99.2418941751653</v>
      </c>
      <c r="K10" s="349">
        <f>CHOOSE(Input!$B$196,SUM('East:West Midlands'!K41),SUM('East:West Midlands'!K41),SUM('East:West Midlands'!K41),SUM('East:West Midlands'!K41),SUM(Northern!K41),SUM(Scotland:Southern!K41),SUM(Scotland:Southern!K41),SUM('Wales &amp; West'!K41))</f>
        <v>101.32011665482578</v>
      </c>
      <c r="L10" s="349">
        <f>CHOOSE(Input!$B$196,SUM('East:West Midlands'!L41),SUM('East:West Midlands'!L41),SUM('East:West Midlands'!L41),SUM('East:West Midlands'!L41),SUM(Northern!L41),SUM(Scotland:Southern!L41),SUM(Scotland:Southern!L41),SUM('Wales &amp; West'!L41))</f>
        <v>100.66433607005182</v>
      </c>
      <c r="M10" s="349">
        <f>+SUM(H10:L10)</f>
        <v>506.3344825960558</v>
      </c>
      <c r="N10" s="350"/>
      <c r="O10" s="350"/>
      <c r="P10" s="350"/>
      <c r="Q10" s="347"/>
    </row>
    <row r="11" spans="2:17" ht="12.75">
      <c r="B11" s="77" t="s">
        <v>100</v>
      </c>
      <c r="H11" s="349">
        <f>CHOOSE(Input!$B$196,SUM('East:West Midlands'!H42:H43),SUM('East:West Midlands'!H42:H43),SUM('East:West Midlands'!H42:H43),SUM('East:West Midlands'!H42:H43),SUM(Northern!H42:H43),SUM(Scotland:Southern!H42:H43),SUM(Scotland:Southern!H42:H43),SUM('Wales &amp; West'!H42:H43))</f>
        <v>113.0272601528876</v>
      </c>
      <c r="I11" s="349">
        <f>CHOOSE(Input!$B$196,SUM('East:West Midlands'!I42:I43),SUM('East:West Midlands'!I42:I43),SUM('East:West Midlands'!I42:I43),SUM('East:West Midlands'!I42:I43),SUM(Northern!I42:I43),SUM(Scotland:Southern!I42:I43),SUM(Scotland:Southern!I42:I43),SUM('Wales &amp; West'!I42:I43))</f>
        <v>124.52311562721258</v>
      </c>
      <c r="J11" s="349">
        <f>CHOOSE(Input!$B$196,SUM('East:West Midlands'!J42:J43),SUM('East:West Midlands'!J42:J43),SUM('East:West Midlands'!J42:J43),SUM('East:West Midlands'!J42:J43),SUM(Northern!J42:J43),SUM(Scotland:Southern!J42:J43),SUM(Scotland:Southern!J42:J43),SUM('Wales &amp; West'!J42:J43))</f>
        <v>116.80552962848728</v>
      </c>
      <c r="K11" s="349">
        <f>CHOOSE(Input!$B$196,SUM('East:West Midlands'!K42:K43),SUM('East:West Midlands'!K42:K43),SUM('East:West Midlands'!K42:K43),SUM('East:West Midlands'!K42:K43),SUM(Northern!K42:K43),SUM(Scotland:Southern!K42:K43),SUM(Scotland:Southern!K42:K43),SUM('Wales &amp; West'!K42:K43))</f>
        <v>122.59214205544752</v>
      </c>
      <c r="L11" s="349">
        <f>CHOOSE(Input!$B$196,SUM('East:West Midlands'!L42:L43),SUM('East:West Midlands'!L42:L43),SUM('East:West Midlands'!L42:L43),SUM('East:West Midlands'!L42:L43),SUM(Northern!L42:L43),SUM(Scotland:Southern!L42:L43),SUM(Scotland:Southern!L42:L43),SUM('Wales &amp; West'!L42:L43))</f>
        <v>125.24876451702082</v>
      </c>
      <c r="M11" s="349">
        <f>+SUM(H11:L11)</f>
        <v>602.1968119810558</v>
      </c>
      <c r="N11" s="350"/>
      <c r="O11" s="350"/>
      <c r="P11" s="350"/>
      <c r="Q11" s="347"/>
    </row>
    <row r="12" spans="2:17" ht="12.75">
      <c r="B12" s="110" t="s">
        <v>371</v>
      </c>
      <c r="C12" s="110"/>
      <c r="D12" s="110"/>
      <c r="E12" s="110"/>
      <c r="F12" s="110"/>
      <c r="G12" s="110"/>
      <c r="H12" s="351">
        <f aca="true" t="shared" si="0" ref="H12:M12">(H11/H10)*100</f>
        <v>113.74472923713854</v>
      </c>
      <c r="I12" s="351">
        <f t="shared" si="0"/>
        <v>117.76470855307959</v>
      </c>
      <c r="J12" s="351">
        <f t="shared" si="0"/>
        <v>117.69780353277173</v>
      </c>
      <c r="K12" s="351">
        <f t="shared" si="0"/>
        <v>120.99486864300661</v>
      </c>
      <c r="L12" s="351">
        <f t="shared" si="0"/>
        <v>124.422183075703</v>
      </c>
      <c r="M12" s="351">
        <f t="shared" si="0"/>
        <v>118.93260930867258</v>
      </c>
      <c r="N12" s="350"/>
      <c r="O12" s="350"/>
      <c r="P12" s="350"/>
      <c r="Q12" s="347"/>
    </row>
    <row r="13" spans="8:17" ht="12.75">
      <c r="H13" s="352"/>
      <c r="I13" s="350"/>
      <c r="J13" s="350"/>
      <c r="K13" s="350"/>
      <c r="L13" s="350"/>
      <c r="M13" s="350"/>
      <c r="N13" s="350"/>
      <c r="O13" s="350"/>
      <c r="P13" s="350"/>
      <c r="Q13" s="347"/>
    </row>
    <row r="14" spans="8:17" ht="12.75">
      <c r="H14" s="352"/>
      <c r="I14" s="350"/>
      <c r="J14" s="350"/>
      <c r="K14" s="350"/>
      <c r="L14" s="350"/>
      <c r="M14" s="350"/>
      <c r="N14" s="350"/>
      <c r="O14" s="350"/>
      <c r="P14" s="350"/>
      <c r="Q14" s="347"/>
    </row>
    <row r="15" spans="2:8" ht="12.75">
      <c r="B15" s="122" t="s">
        <v>801</v>
      </c>
      <c r="C15" s="122"/>
      <c r="D15" s="122"/>
      <c r="E15" s="122"/>
      <c r="F15" s="122"/>
      <c r="G15" s="122"/>
      <c r="H15" s="121" t="s">
        <v>618</v>
      </c>
    </row>
    <row r="16" spans="2:8" ht="12.75">
      <c r="B16" s="121"/>
      <c r="C16" s="121"/>
      <c r="D16" s="121"/>
      <c r="E16" s="121"/>
      <c r="F16" s="121"/>
      <c r="G16" s="121"/>
      <c r="H16" s="121"/>
    </row>
    <row r="17" spans="2:10" ht="12.75">
      <c r="B17" s="121" t="s">
        <v>708</v>
      </c>
      <c r="C17" s="121"/>
      <c r="D17" s="121"/>
      <c r="E17" s="121"/>
      <c r="F17" s="121"/>
      <c r="G17" s="121"/>
      <c r="H17" s="392">
        <v>0.4</v>
      </c>
      <c r="J17" s="359"/>
    </row>
    <row r="18" spans="2:10" ht="12.75">
      <c r="B18" s="121" t="s">
        <v>709</v>
      </c>
      <c r="C18" s="121"/>
      <c r="D18" s="121"/>
      <c r="E18" s="121"/>
      <c r="F18" s="121"/>
      <c r="G18" s="121"/>
      <c r="H18" s="393">
        <v>0.005</v>
      </c>
      <c r="J18" s="389"/>
    </row>
    <row r="19" spans="2:8" ht="12.75">
      <c r="B19" s="121" t="s">
        <v>710</v>
      </c>
      <c r="C19" s="121"/>
      <c r="D19" s="121"/>
      <c r="E19" s="121"/>
      <c r="F19" s="121"/>
      <c r="G19" s="121"/>
      <c r="H19" s="358">
        <v>100</v>
      </c>
    </row>
    <row r="20" spans="2:8" ht="12.75">
      <c r="B20" s="121" t="s">
        <v>709</v>
      </c>
      <c r="C20" s="121"/>
      <c r="D20" s="121"/>
      <c r="E20" s="121"/>
      <c r="F20" s="121"/>
      <c r="G20" s="121"/>
      <c r="H20" s="121">
        <v>0.25</v>
      </c>
    </row>
    <row r="21" spans="2:8" ht="12.75">
      <c r="B21" s="121" t="s">
        <v>711</v>
      </c>
      <c r="C21" s="121"/>
      <c r="D21" s="121"/>
      <c r="E21" s="121"/>
      <c r="F21" s="121"/>
      <c r="G21" s="121"/>
      <c r="H21" s="121">
        <v>2.5</v>
      </c>
    </row>
    <row r="23" spans="2:8" ht="12.75">
      <c r="B23" s="77" t="s">
        <v>712</v>
      </c>
      <c r="H23" s="360">
        <f>+H17+100*H18</f>
        <v>0.9</v>
      </c>
    </row>
    <row r="24" spans="2:8" ht="12.75">
      <c r="B24" s="77" t="s">
        <v>709</v>
      </c>
      <c r="H24" s="361">
        <f>+H18</f>
        <v>0.005</v>
      </c>
    </row>
    <row r="25" spans="2:8" ht="12.75">
      <c r="B25" s="77" t="s">
        <v>715</v>
      </c>
      <c r="H25" s="77">
        <f>+H19-100*H20</f>
        <v>75</v>
      </c>
    </row>
    <row r="26" spans="2:8" ht="12.75">
      <c r="B26" s="77" t="s">
        <v>709</v>
      </c>
      <c r="H26" s="77">
        <f>+H20</f>
        <v>0.25</v>
      </c>
    </row>
    <row r="27" spans="2:12" ht="12.75">
      <c r="B27" s="77" t="s">
        <v>716</v>
      </c>
      <c r="H27" s="77">
        <f>+H21+(-$H$24*$H$25*H88+$H$23*$H$26*H88-$H$24*$H$26*H88^2+$H$24*H88*H88/2)</f>
        <v>0</v>
      </c>
      <c r="L27" s="349"/>
    </row>
    <row r="30" spans="1:17" ht="12.75">
      <c r="A30" s="122"/>
      <c r="B30" s="110" t="s">
        <v>615</v>
      </c>
      <c r="C30" s="110"/>
      <c r="D30" s="110"/>
      <c r="E30" s="110"/>
      <c r="F30" s="110"/>
      <c r="G30" s="110"/>
      <c r="H30" s="396" t="s">
        <v>92</v>
      </c>
      <c r="I30" s="396" t="s">
        <v>93</v>
      </c>
      <c r="J30" s="396" t="s">
        <v>94</v>
      </c>
      <c r="K30" s="396" t="s">
        <v>95</v>
      </c>
      <c r="L30" s="396" t="s">
        <v>131</v>
      </c>
      <c r="M30" s="348"/>
      <c r="N30" s="412" t="s">
        <v>258</v>
      </c>
      <c r="O30" s="348"/>
      <c r="P30" s="348"/>
      <c r="Q30" s="347"/>
    </row>
    <row r="31" spans="1:17" ht="12.75">
      <c r="A31" s="122"/>
      <c r="M31" s="348"/>
      <c r="N31" s="348"/>
      <c r="O31" s="348"/>
      <c r="P31" s="415"/>
      <c r="Q31" s="347"/>
    </row>
    <row r="32" spans="2:17" ht="12.75">
      <c r="B32" s="77" t="s">
        <v>622</v>
      </c>
      <c r="H32" s="353">
        <f>MIN($H23-$M$12*$H24,$H$17)</f>
        <v>0.30533695345663714</v>
      </c>
      <c r="I32" s="353">
        <f>MIN($H23-$M$12*$H24,$H$17)</f>
        <v>0.30533695345663714</v>
      </c>
      <c r="J32" s="353">
        <f>MIN($H23-$M$12*$H24,$H$17)</f>
        <v>0.30533695345663714</v>
      </c>
      <c r="K32" s="353">
        <f>MIN($H23-$M$12*$H24,$H$17)</f>
        <v>0.30533695345663714</v>
      </c>
      <c r="L32" s="353">
        <f>MIN($H23-$M$12*$H24,$H$17)</f>
        <v>0.30533695345663714</v>
      </c>
      <c r="M32" s="350"/>
      <c r="N32" s="350"/>
      <c r="O32" s="350"/>
      <c r="P32" s="416"/>
      <c r="Q32" s="416"/>
    </row>
    <row r="33" spans="2:17" ht="12.75">
      <c r="B33" s="77" t="s">
        <v>369</v>
      </c>
      <c r="H33" s="349">
        <f>-(-$H$24*$H$25*$M$12+$H$23*$H$26*$M$12-$H$24*$H$26*$M$12^2+$H$24*$M$12*$M$12/2)+$H$27</f>
        <v>0.15868445008919707</v>
      </c>
      <c r="I33" s="349">
        <f>-(-$H$24*$H$25*$M$12+$H$23*$H$26*$M$12-$H$24*$H$26*$M$12^2+$H$24*$M$12*$M$12/2)+$H$27</f>
        <v>0.15868445008919707</v>
      </c>
      <c r="J33" s="349">
        <f>-(-$H$24*$H$25*$M$12+$H$23*$H$26*$M$12-$H$24*$H$26*$M$12^2+$H$24*$M$12*$M$12/2)+$H$27</f>
        <v>0.15868445008919707</v>
      </c>
      <c r="K33" s="349">
        <f>-(-$H$24*$H$25*$M$12+$H$23*$H$26*$M$12-$H$24*$H$26*$M$12^2+$H$24*$M$12*$M$12/2)+$H$27</f>
        <v>0.15868445008919707</v>
      </c>
      <c r="L33" s="349">
        <f>-(-$H$24*$H$25*$M$12+$H$23*$H$26*$M$12-$H$24*$H$26*$M$12^2+$H$24*$M$12*$M$12/2)+$H$27</f>
        <v>0.15868445008919707</v>
      </c>
      <c r="M33" s="350"/>
      <c r="N33" s="350"/>
      <c r="O33" s="350"/>
      <c r="P33" s="416"/>
      <c r="Q33" s="416"/>
    </row>
    <row r="34" spans="2:17" ht="12.75">
      <c r="B34" s="77" t="s">
        <v>620</v>
      </c>
      <c r="H34" s="349">
        <f>H33/100*H7</f>
        <v>0.15768351415261403</v>
      </c>
      <c r="I34" s="349">
        <f>I33/100*I7</f>
        <v>0.1677912030648082</v>
      </c>
      <c r="J34" s="349">
        <f>J33/100*J7</f>
        <v>0.15748145402996397</v>
      </c>
      <c r="K34" s="349">
        <f>K33/100*K7</f>
        <v>0.16077926994344327</v>
      </c>
      <c r="L34" s="349">
        <f>L33/100*L7</f>
        <v>0.15973864812870298</v>
      </c>
      <c r="N34" s="414">
        <f>SUM(H34:L34)</f>
        <v>0.8034740893195325</v>
      </c>
      <c r="O34" s="350"/>
      <c r="P34" s="416"/>
      <c r="Q34" s="416"/>
    </row>
    <row r="35" spans="2:17" ht="12.75">
      <c r="B35" s="77" t="s">
        <v>614</v>
      </c>
      <c r="H35" s="390">
        <f>H34/RealRAV!H$36</f>
        <v>0.0001252822225863841</v>
      </c>
      <c r="I35" s="390">
        <f>I34/RealRAV!I$36</f>
        <v>0.00012831567799181795</v>
      </c>
      <c r="J35" s="390">
        <f>J34/RealRAV!J$36</f>
        <v>0.00011652618962548345</v>
      </c>
      <c r="K35" s="390">
        <f>K34/RealRAV!K$36</f>
        <v>0.00011581729293000646</v>
      </c>
      <c r="L35" s="390">
        <f>L34/RealRAV!L$36</f>
        <v>0.00011230201419281291</v>
      </c>
      <c r="N35" s="350"/>
      <c r="O35" s="350"/>
      <c r="P35" s="416"/>
      <c r="Q35" s="416"/>
    </row>
    <row r="36" spans="2:17" ht="12.75">
      <c r="B36" s="358" t="s">
        <v>370</v>
      </c>
      <c r="C36" s="358"/>
      <c r="D36" s="358"/>
      <c r="E36" s="358"/>
      <c r="F36" s="358"/>
      <c r="G36" s="358"/>
      <c r="H36" s="418">
        <f>$H25+$M$12*$H26</f>
        <v>104.73315232716814</v>
      </c>
      <c r="I36" s="418">
        <f>$H25+$M$12*$H26</f>
        <v>104.73315232716814</v>
      </c>
      <c r="J36" s="418">
        <f>$H25+$M$12*$H26</f>
        <v>104.73315232716814</v>
      </c>
      <c r="K36" s="418">
        <f>$H25+$M$12*$H26</f>
        <v>104.73315232716814</v>
      </c>
      <c r="L36" s="418">
        <f>$H25+$M$12*$H26</f>
        <v>104.73315232716814</v>
      </c>
      <c r="N36" s="410"/>
      <c r="O36" s="350"/>
      <c r="P36" s="416"/>
      <c r="Q36" s="416"/>
    </row>
    <row r="37" spans="2:18" s="121" customFormat="1" ht="12.75">
      <c r="B37" s="77" t="s">
        <v>503</v>
      </c>
      <c r="H37" s="421">
        <f>(H36/100)*(Input!H$112-Input!H$213)</f>
        <v>38.5187358520732</v>
      </c>
      <c r="I37" s="421">
        <f>(I36/100)*(Input!I$112-Input!I$213)</f>
        <v>34.697644121373386</v>
      </c>
      <c r="J37" s="421">
        <f>(J36/100)*(Input!J$112-Input!J$213)</f>
        <v>32.09508513273557</v>
      </c>
      <c r="K37" s="421">
        <f>(K36/100)*(Input!K$112-Input!K$213)</f>
        <v>34.167745321973555</v>
      </c>
      <c r="L37" s="421">
        <f>(L36/100)*(Input!L$112-Input!L$213)</f>
        <v>35.034515573183114</v>
      </c>
      <c r="N37" s="459">
        <f>SUM(H37:M37)</f>
        <v>174.5137260013388</v>
      </c>
      <c r="O37" s="422"/>
      <c r="P37" s="471"/>
      <c r="Q37" s="422"/>
      <c r="R37" s="422"/>
    </row>
    <row r="38" spans="2:14" s="121" customFormat="1" ht="12.75">
      <c r="B38" s="77" t="s">
        <v>102</v>
      </c>
      <c r="H38" s="421">
        <f>(H36/100)*(-Input!H$79-Input!H220)</f>
        <v>65.55378982984416</v>
      </c>
      <c r="I38" s="421">
        <f>(I36/100)*(-Input!I$79-Input!I220)</f>
        <v>76.04604639062917</v>
      </c>
      <c r="J38" s="421">
        <f>(J36/100)*(-Input!J$79-Input!J220)</f>
        <v>71.84407906610733</v>
      </c>
      <c r="K38" s="421">
        <f>(K36/100)*(-Input!K$79-Input!K220)</f>
        <v>71.94800679218957</v>
      </c>
      <c r="L38" s="421">
        <f>(L36/100)*(-Input!L$79-Input!L220)</f>
        <v>70.3944168621967</v>
      </c>
      <c r="M38" s="452" t="str">
        <f>IF((((SUM(H37:L38))/(H36/100))-M7)&lt;0.01,"ok","oh no!")</f>
        <v>ok</v>
      </c>
      <c r="N38" s="459">
        <f>SUM(H38:M38)</f>
        <v>355.7863389409669</v>
      </c>
    </row>
    <row r="39" spans="13:17" s="121" customFormat="1" ht="12.75">
      <c r="M39" s="456"/>
      <c r="N39" s="422"/>
      <c r="O39" s="423"/>
      <c r="P39" s="455"/>
      <c r="Q39" s="424"/>
    </row>
    <row r="40" spans="2:16" ht="12.75">
      <c r="B40" s="77" t="s">
        <v>101</v>
      </c>
      <c r="H40" s="349">
        <f>H37+H38+Input!H$213+Input!H220</f>
        <v>122.6463865477241</v>
      </c>
      <c r="I40" s="349">
        <f>I37+I38+Input!I$213+Input!I220</f>
        <v>132.58815075228958</v>
      </c>
      <c r="J40" s="349">
        <f>J37+J38+Input!J$213+Input!J220</f>
        <v>118.20535956770516</v>
      </c>
      <c r="K40" s="349">
        <f>K37+K38+Input!K$213+Input!K220</f>
        <v>119.01439264612007</v>
      </c>
      <c r="L40" s="349">
        <f>L37+L38+Input!L$213+Input!L220</f>
        <v>114.73917047927019</v>
      </c>
      <c r="M40" s="130"/>
      <c r="N40" s="414">
        <f>SUM(H40:M40)</f>
        <v>607.1934599931092</v>
      </c>
      <c r="O40" s="350"/>
      <c r="P40" s="416"/>
    </row>
    <row r="41" spans="2:16" ht="12.75">
      <c r="B41" s="77" t="s">
        <v>103</v>
      </c>
      <c r="H41" s="131">
        <f>((H38+Input!H220)*(1-Input!H$67))+H37+Input!H213</f>
        <v>89.54117913280203</v>
      </c>
      <c r="I41" s="131">
        <f>((I38+Input!I220)*(1-Input!I$67))+I37+Input!I213</f>
        <v>94.22300255697502</v>
      </c>
      <c r="J41" s="131">
        <f>((J38+Input!J220)*(1-Input!J$67))+J37+Input!J213</f>
        <v>81.92702836798483</v>
      </c>
      <c r="K41" s="131">
        <f>((K38+Input!K220)*(1-Input!K$67))+K37+Input!K213</f>
        <v>82.66922258335862</v>
      </c>
      <c r="L41" s="131">
        <f>((L38+Input!L220)*(1-Input!L$67))+L37+Input!L213</f>
        <v>79.15521204817183</v>
      </c>
      <c r="M41" s="411"/>
      <c r="N41" s="414">
        <f>SUM(H41:M41)</f>
        <v>427.51564468929234</v>
      </c>
      <c r="O41" s="493"/>
      <c r="P41" s="416"/>
    </row>
    <row r="42" spans="2:16" ht="12.75">
      <c r="B42" s="77" t="s">
        <v>104</v>
      </c>
      <c r="H42" s="349">
        <f>((H38+Input!H220)*Input!H$67)</f>
        <v>33.105207414922084</v>
      </c>
      <c r="I42" s="349">
        <f>((I38+Input!I220)*Input!I$67)</f>
        <v>38.36514819531459</v>
      </c>
      <c r="J42" s="349">
        <f>((J38+Input!J220)*Input!J$67)</f>
        <v>36.27833119972033</v>
      </c>
      <c r="K42" s="349">
        <f>((K38+Input!K220)*Input!K$67)</f>
        <v>36.345170062761454</v>
      </c>
      <c r="L42" s="349">
        <f>((L38+Input!L220)*Input!L$67)</f>
        <v>35.58395843109835</v>
      </c>
      <c r="M42" s="130" t="str">
        <f>IF((SUM(H41:L42)=SUM(H40:L40)),"ok","oh no!")</f>
        <v>ok</v>
      </c>
      <c r="N42" s="414">
        <f>SUM(H42:M42)</f>
        <v>179.6778153038168</v>
      </c>
      <c r="O42" s="493"/>
      <c r="P42" s="416"/>
    </row>
    <row r="43" spans="8:17" ht="12.75">
      <c r="H43" s="349"/>
      <c r="I43" s="349"/>
      <c r="J43" s="349"/>
      <c r="K43" s="349"/>
      <c r="L43" s="349"/>
      <c r="M43" s="350"/>
      <c r="N43" s="350"/>
      <c r="O43" s="350"/>
      <c r="P43" s="416"/>
      <c r="Q43" s="416"/>
    </row>
    <row r="44" spans="2:17" ht="12.75">
      <c r="B44" s="391" t="s">
        <v>621</v>
      </c>
      <c r="C44" s="397"/>
      <c r="D44" s="397"/>
      <c r="E44" s="397"/>
      <c r="F44" s="397"/>
      <c r="G44" s="397"/>
      <c r="H44" s="615" t="s">
        <v>613</v>
      </c>
      <c r="I44" s="616"/>
      <c r="J44" s="616"/>
      <c r="K44" s="616"/>
      <c r="L44" s="617"/>
      <c r="M44" s="350"/>
      <c r="N44" s="350"/>
      <c r="O44" s="350"/>
      <c r="P44" s="371"/>
      <c r="Q44" s="347"/>
    </row>
    <row r="45" spans="2:17" ht="12.75">
      <c r="B45" s="365">
        <f>ROUND(B46-($B$48*0.05),0)</f>
        <v>101</v>
      </c>
      <c r="C45" s="365"/>
      <c r="D45" s="365"/>
      <c r="E45" s="365"/>
      <c r="F45" s="365"/>
      <c r="G45" s="365"/>
      <c r="H45" s="395">
        <f aca="true" t="shared" si="1" ref="H45:L56">(H$40-$B45)*H$32+H$34</f>
        <v>6.767125235979426</v>
      </c>
      <c r="I45" s="395">
        <f t="shared" si="1"/>
        <v>9.81282091909789</v>
      </c>
      <c r="J45" s="395">
        <f t="shared" si="1"/>
        <v>5.41091352755906</v>
      </c>
      <c r="K45" s="395">
        <f t="shared" si="1"/>
        <v>5.661239038881394</v>
      </c>
      <c r="L45" s="395">
        <f t="shared" si="1"/>
        <v>4.3548151052904265</v>
      </c>
      <c r="M45" s="394"/>
      <c r="N45" s="350"/>
      <c r="O45" s="350"/>
      <c r="P45" s="371"/>
      <c r="Q45" s="347"/>
    </row>
    <row r="46" spans="2:17" ht="12.75">
      <c r="B46" s="365">
        <f>ROUND(B47-($B$48*0.05),0)</f>
        <v>107</v>
      </c>
      <c r="C46" s="365"/>
      <c r="D46" s="365"/>
      <c r="E46" s="365"/>
      <c r="F46" s="365"/>
      <c r="G46" s="365"/>
      <c r="H46" s="366">
        <f t="shared" si="1"/>
        <v>4.935103515239603</v>
      </c>
      <c r="I46" s="366">
        <f t="shared" si="1"/>
        <v>7.980799198358065</v>
      </c>
      <c r="J46" s="366">
        <f t="shared" si="1"/>
        <v>3.5788918068192377</v>
      </c>
      <c r="K46" s="366">
        <f t="shared" si="1"/>
        <v>3.829217318141571</v>
      </c>
      <c r="L46" s="366">
        <f t="shared" si="1"/>
        <v>2.522793384550604</v>
      </c>
      <c r="M46" s="394"/>
      <c r="N46" s="350"/>
      <c r="O46" s="350"/>
      <c r="P46" s="350"/>
      <c r="Q46" s="347"/>
    </row>
    <row r="47" spans="2:17" ht="12.75">
      <c r="B47" s="365">
        <f>ROUND(B48-($B$48*0.05),0)</f>
        <v>113</v>
      </c>
      <c r="C47" s="365"/>
      <c r="D47" s="365"/>
      <c r="E47" s="365"/>
      <c r="F47" s="365"/>
      <c r="G47" s="365"/>
      <c r="H47" s="366">
        <f t="shared" si="1"/>
        <v>3.1030817944997797</v>
      </c>
      <c r="I47" s="366">
        <f t="shared" si="1"/>
        <v>6.148777477618243</v>
      </c>
      <c r="J47" s="366">
        <f t="shared" si="1"/>
        <v>1.746870086079415</v>
      </c>
      <c r="K47" s="366">
        <f t="shared" si="1"/>
        <v>1.9971955974017486</v>
      </c>
      <c r="L47" s="366">
        <f t="shared" si="1"/>
        <v>0.690771663810781</v>
      </c>
      <c r="M47" s="394"/>
      <c r="N47" s="350"/>
      <c r="O47" s="350"/>
      <c r="P47" s="350"/>
      <c r="Q47" s="347"/>
    </row>
    <row r="48" spans="2:17" ht="12.75">
      <c r="B48" s="365">
        <f>ROUND(AVERAGE(H12:L12),0)</f>
        <v>119</v>
      </c>
      <c r="C48" s="365"/>
      <c r="D48" s="365"/>
      <c r="E48" s="365"/>
      <c r="F48" s="365"/>
      <c r="G48" s="365"/>
      <c r="H48" s="366">
        <f t="shared" si="1"/>
        <v>1.271060073759957</v>
      </c>
      <c r="I48" s="366">
        <f t="shared" si="1"/>
        <v>4.31675575687842</v>
      </c>
      <c r="J48" s="366">
        <f t="shared" si="1"/>
        <v>-0.08515163466040793</v>
      </c>
      <c r="K48" s="366">
        <f t="shared" si="1"/>
        <v>0.16517387666192557</v>
      </c>
      <c r="L48" s="366">
        <f t="shared" si="1"/>
        <v>-1.1412500569290418</v>
      </c>
      <c r="M48" s="394"/>
      <c r="N48" s="350"/>
      <c r="O48" s="350"/>
      <c r="P48" s="350"/>
      <c r="Q48" s="347"/>
    </row>
    <row r="49" spans="2:17" ht="12.75">
      <c r="B49" s="365">
        <f aca="true" t="shared" si="2" ref="B49:B56">ROUND(B48+($B$48*0.05),0)</f>
        <v>125</v>
      </c>
      <c r="C49" s="365"/>
      <c r="D49" s="365"/>
      <c r="E49" s="365"/>
      <c r="F49" s="365"/>
      <c r="G49" s="365"/>
      <c r="H49" s="366">
        <f t="shared" si="1"/>
        <v>-0.5609616469798657</v>
      </c>
      <c r="I49" s="366">
        <f t="shared" si="1"/>
        <v>2.4847340361385974</v>
      </c>
      <c r="J49" s="366">
        <f t="shared" si="1"/>
        <v>-1.9171733554002306</v>
      </c>
      <c r="K49" s="366">
        <f t="shared" si="1"/>
        <v>-1.666847844077897</v>
      </c>
      <c r="L49" s="366">
        <f t="shared" si="1"/>
        <v>-2.9732717776688644</v>
      </c>
      <c r="M49" s="394"/>
      <c r="N49" s="350"/>
      <c r="O49" s="350"/>
      <c r="P49" s="350"/>
      <c r="Q49" s="347"/>
    </row>
    <row r="50" spans="2:17" ht="12.75">
      <c r="B50" s="365">
        <f t="shared" si="2"/>
        <v>131</v>
      </c>
      <c r="C50" s="365"/>
      <c r="D50" s="365"/>
      <c r="E50" s="365"/>
      <c r="F50" s="365"/>
      <c r="G50" s="365"/>
      <c r="H50" s="366">
        <f t="shared" si="1"/>
        <v>-2.3929833677196886</v>
      </c>
      <c r="I50" s="366">
        <f t="shared" si="1"/>
        <v>0.6527123153987746</v>
      </c>
      <c r="J50" s="366">
        <f t="shared" si="1"/>
        <v>-3.7491950761400537</v>
      </c>
      <c r="K50" s="366">
        <f t="shared" si="1"/>
        <v>-3.49886956481772</v>
      </c>
      <c r="L50" s="366">
        <f t="shared" si="1"/>
        <v>-4.8052934984086875</v>
      </c>
      <c r="M50" s="394"/>
      <c r="N50" s="350"/>
      <c r="O50" s="350"/>
      <c r="P50" s="350"/>
      <c r="Q50" s="347"/>
    </row>
    <row r="51" spans="2:17" ht="12.75">
      <c r="B51" s="365">
        <f t="shared" si="2"/>
        <v>137</v>
      </c>
      <c r="C51" s="365"/>
      <c r="D51" s="365"/>
      <c r="E51" s="365"/>
      <c r="F51" s="365"/>
      <c r="G51" s="365"/>
      <c r="H51" s="366">
        <f t="shared" si="1"/>
        <v>-4.225005088459511</v>
      </c>
      <c r="I51" s="366">
        <f t="shared" si="1"/>
        <v>-1.1793094053410484</v>
      </c>
      <c r="J51" s="366">
        <f t="shared" si="1"/>
        <v>-5.581216796879877</v>
      </c>
      <c r="K51" s="366">
        <f t="shared" si="1"/>
        <v>-5.330891285557543</v>
      </c>
      <c r="L51" s="366">
        <f t="shared" si="1"/>
        <v>-6.637315219148511</v>
      </c>
      <c r="M51" s="394"/>
      <c r="N51" s="350"/>
      <c r="O51" s="350"/>
      <c r="P51" s="350"/>
      <c r="Q51" s="347"/>
    </row>
    <row r="52" spans="2:17" ht="12.75">
      <c r="B52" s="365">
        <f t="shared" si="2"/>
        <v>143</v>
      </c>
      <c r="C52" s="365"/>
      <c r="D52" s="365"/>
      <c r="E52" s="365"/>
      <c r="F52" s="365"/>
      <c r="G52" s="365"/>
      <c r="H52" s="366">
        <f t="shared" si="1"/>
        <v>-6.057026809199334</v>
      </c>
      <c r="I52" s="366">
        <f t="shared" si="1"/>
        <v>-3.011331126080871</v>
      </c>
      <c r="J52" s="366">
        <f t="shared" si="1"/>
        <v>-7.4132385176197</v>
      </c>
      <c r="K52" s="366">
        <f t="shared" si="1"/>
        <v>-7.162913006297366</v>
      </c>
      <c r="L52" s="366">
        <f t="shared" si="1"/>
        <v>-8.469336939888333</v>
      </c>
      <c r="M52" s="394"/>
      <c r="N52" s="350"/>
      <c r="O52" s="350"/>
      <c r="P52" s="350"/>
      <c r="Q52" s="347"/>
    </row>
    <row r="53" spans="2:17" ht="12.75">
      <c r="B53" s="365">
        <f t="shared" si="2"/>
        <v>149</v>
      </c>
      <c r="C53" s="365"/>
      <c r="D53" s="365"/>
      <c r="E53" s="365"/>
      <c r="F53" s="365"/>
      <c r="G53" s="365"/>
      <c r="H53" s="366">
        <f t="shared" si="1"/>
        <v>-7.889048529939156</v>
      </c>
      <c r="I53" s="366">
        <f t="shared" si="1"/>
        <v>-4.843352846820694</v>
      </c>
      <c r="J53" s="366">
        <f t="shared" si="1"/>
        <v>-9.245260238359522</v>
      </c>
      <c r="K53" s="366">
        <f t="shared" si="1"/>
        <v>-8.994934727037188</v>
      </c>
      <c r="L53" s="366">
        <f t="shared" si="1"/>
        <v>-10.301358660628155</v>
      </c>
      <c r="M53" s="394"/>
      <c r="N53" s="350"/>
      <c r="O53" s="350"/>
      <c r="P53" s="350"/>
      <c r="Q53" s="347"/>
    </row>
    <row r="54" spans="2:17" ht="12.75">
      <c r="B54" s="365">
        <f t="shared" si="2"/>
        <v>155</v>
      </c>
      <c r="C54" s="365"/>
      <c r="D54" s="365"/>
      <c r="E54" s="365"/>
      <c r="F54" s="365"/>
      <c r="G54" s="365"/>
      <c r="H54" s="366">
        <f t="shared" si="1"/>
        <v>-9.721070250678979</v>
      </c>
      <c r="I54" s="366">
        <f t="shared" si="1"/>
        <v>-6.675374567560517</v>
      </c>
      <c r="J54" s="366">
        <f t="shared" si="1"/>
        <v>-11.077281959099345</v>
      </c>
      <c r="K54" s="366">
        <f t="shared" si="1"/>
        <v>-10.826956447777011</v>
      </c>
      <c r="L54" s="366">
        <f t="shared" si="1"/>
        <v>-12.133380381367978</v>
      </c>
      <c r="M54" s="394"/>
      <c r="N54" s="350"/>
      <c r="O54" s="350"/>
      <c r="P54" s="350"/>
      <c r="Q54" s="347"/>
    </row>
    <row r="55" spans="2:17" ht="12.75">
      <c r="B55" s="365">
        <f t="shared" si="2"/>
        <v>161</v>
      </c>
      <c r="C55" s="365"/>
      <c r="D55" s="365"/>
      <c r="E55" s="365"/>
      <c r="F55" s="365"/>
      <c r="G55" s="365"/>
      <c r="H55" s="366">
        <f t="shared" si="1"/>
        <v>-11.553091971418802</v>
      </c>
      <c r="I55" s="366">
        <f t="shared" si="1"/>
        <v>-8.507396288300338</v>
      </c>
      <c r="J55" s="366">
        <f t="shared" si="1"/>
        <v>-12.909303679839168</v>
      </c>
      <c r="K55" s="366">
        <f t="shared" si="1"/>
        <v>-12.658978168516834</v>
      </c>
      <c r="L55" s="366">
        <f t="shared" si="1"/>
        <v>-13.9654021021078</v>
      </c>
      <c r="M55" s="394"/>
      <c r="N55" s="350"/>
      <c r="O55" s="350"/>
      <c r="P55" s="350"/>
      <c r="Q55" s="347"/>
    </row>
    <row r="56" spans="2:17" ht="12.75">
      <c r="B56" s="367">
        <f t="shared" si="2"/>
        <v>167</v>
      </c>
      <c r="C56" s="367"/>
      <c r="D56" s="367"/>
      <c r="E56" s="367"/>
      <c r="F56" s="367"/>
      <c r="G56" s="367"/>
      <c r="H56" s="368">
        <f t="shared" si="1"/>
        <v>-13.385113692158626</v>
      </c>
      <c r="I56" s="368">
        <f t="shared" si="1"/>
        <v>-10.339418009040163</v>
      </c>
      <c r="J56" s="368">
        <f t="shared" si="1"/>
        <v>-14.74132540057899</v>
      </c>
      <c r="K56" s="368">
        <f t="shared" si="1"/>
        <v>-14.490999889256656</v>
      </c>
      <c r="L56" s="368">
        <f t="shared" si="1"/>
        <v>-15.797423822847623</v>
      </c>
      <c r="M56" s="394"/>
      <c r="N56" s="350"/>
      <c r="O56" s="350"/>
      <c r="P56" s="350"/>
      <c r="Q56" s="347"/>
    </row>
    <row r="57" spans="8:17" ht="12.75">
      <c r="H57" s="350"/>
      <c r="I57" s="350"/>
      <c r="J57" s="350"/>
      <c r="K57" s="350"/>
      <c r="L57" s="350"/>
      <c r="M57" s="350"/>
      <c r="N57" s="350"/>
      <c r="O57" s="350"/>
      <c r="P57" s="350"/>
      <c r="Q57" s="347"/>
    </row>
    <row r="59" spans="8:16" ht="12.75">
      <c r="H59" s="410"/>
      <c r="I59" s="410"/>
      <c r="J59" s="410"/>
      <c r="K59" s="410"/>
      <c r="L59" s="410"/>
      <c r="M59" s="410"/>
      <c r="N59" s="410"/>
      <c r="O59" s="410"/>
      <c r="P59" s="410"/>
    </row>
    <row r="60" spans="2:7" ht="12.75">
      <c r="B60" s="110" t="s">
        <v>616</v>
      </c>
      <c r="C60" s="110"/>
      <c r="D60" s="110"/>
      <c r="E60" s="110"/>
      <c r="F60" s="110"/>
      <c r="G60" s="110"/>
    </row>
    <row r="61" spans="8:17" ht="12.75">
      <c r="H61" s="350"/>
      <c r="I61" s="350"/>
      <c r="J61" s="350"/>
      <c r="K61" s="350"/>
      <c r="L61" s="350"/>
      <c r="M61" s="350"/>
      <c r="N61" s="350"/>
      <c r="O61" s="350"/>
      <c r="P61" s="350"/>
      <c r="Q61" s="347"/>
    </row>
    <row r="62" spans="1:17" ht="12.75">
      <c r="A62" s="489"/>
      <c r="B62" s="369" t="s">
        <v>802</v>
      </c>
      <c r="C62" s="369"/>
      <c r="D62" s="369"/>
      <c r="E62" s="369"/>
      <c r="F62" s="369"/>
      <c r="G62" s="369"/>
      <c r="H62" s="370">
        <f aca="true" t="shared" si="3" ref="H62:P62">+H88</f>
        <v>100</v>
      </c>
      <c r="I62" s="370">
        <f t="shared" si="3"/>
        <v>105</v>
      </c>
      <c r="J62" s="370">
        <f t="shared" si="3"/>
        <v>110</v>
      </c>
      <c r="K62" s="370">
        <f t="shared" si="3"/>
        <v>115</v>
      </c>
      <c r="L62" s="370">
        <f t="shared" si="3"/>
        <v>120</v>
      </c>
      <c r="M62" s="370">
        <f t="shared" si="3"/>
        <v>125</v>
      </c>
      <c r="N62" s="370">
        <f t="shared" si="3"/>
        <v>130</v>
      </c>
      <c r="O62" s="370">
        <f t="shared" si="3"/>
        <v>135</v>
      </c>
      <c r="P62" s="370">
        <f t="shared" si="3"/>
        <v>140</v>
      </c>
      <c r="Q62" s="371"/>
    </row>
    <row r="63" spans="1:17" ht="12.75">
      <c r="A63" s="490"/>
      <c r="B63" s="372" t="s">
        <v>702</v>
      </c>
      <c r="C63" s="372"/>
      <c r="D63" s="372"/>
      <c r="E63" s="372"/>
      <c r="F63" s="372"/>
      <c r="G63" s="372"/>
      <c r="H63" s="373">
        <f aca="true" t="shared" si="4" ref="H63:P63">$H23-H62*$H24</f>
        <v>0.4</v>
      </c>
      <c r="I63" s="373">
        <f t="shared" si="4"/>
        <v>0.375</v>
      </c>
      <c r="J63" s="373">
        <f t="shared" si="4"/>
        <v>0.35</v>
      </c>
      <c r="K63" s="373">
        <f t="shared" si="4"/>
        <v>0.32499999999999996</v>
      </c>
      <c r="L63" s="373">
        <f t="shared" si="4"/>
        <v>0.30000000000000004</v>
      </c>
      <c r="M63" s="373">
        <f t="shared" si="4"/>
        <v>0.275</v>
      </c>
      <c r="N63" s="373">
        <f t="shared" si="4"/>
        <v>0.25</v>
      </c>
      <c r="O63" s="373">
        <f t="shared" si="4"/>
        <v>0.22499999999999998</v>
      </c>
      <c r="P63" s="373">
        <f t="shared" si="4"/>
        <v>0.19999999999999996</v>
      </c>
      <c r="Q63" s="373"/>
    </row>
    <row r="64" spans="1:28" ht="12.75">
      <c r="A64" s="491"/>
      <c r="B64" s="374" t="s">
        <v>703</v>
      </c>
      <c r="C64" s="369"/>
      <c r="D64" s="369"/>
      <c r="E64" s="369"/>
      <c r="F64" s="369"/>
      <c r="G64" s="369"/>
      <c r="H64" s="375">
        <f aca="true" t="shared" si="5" ref="H64:P64">+H91</f>
        <v>2.5</v>
      </c>
      <c r="I64" s="375">
        <f t="shared" si="5"/>
        <v>1.96875</v>
      </c>
      <c r="J64" s="375">
        <f t="shared" si="5"/>
        <v>1.3749999999999964</v>
      </c>
      <c r="K64" s="375">
        <f t="shared" si="5"/>
        <v>0.7187499999999929</v>
      </c>
      <c r="L64" s="375">
        <f t="shared" si="5"/>
        <v>0</v>
      </c>
      <c r="M64" s="375">
        <f t="shared" si="5"/>
        <v>-0.78125</v>
      </c>
      <c r="N64" s="375">
        <f t="shared" si="5"/>
        <v>-1.625</v>
      </c>
      <c r="O64" s="375">
        <f t="shared" si="5"/>
        <v>-2.53125</v>
      </c>
      <c r="P64" s="375">
        <f t="shared" si="5"/>
        <v>-3.500000000000007</v>
      </c>
      <c r="Q64" s="371"/>
      <c r="AB64" s="77">
        <v>1250</v>
      </c>
    </row>
    <row r="65" spans="1:17" ht="12.75">
      <c r="A65" s="492"/>
      <c r="B65" s="354"/>
      <c r="C65" s="354"/>
      <c r="D65" s="354"/>
      <c r="E65" s="354"/>
      <c r="F65" s="354"/>
      <c r="G65" s="354"/>
      <c r="H65" s="355"/>
      <c r="I65" s="355"/>
      <c r="J65" s="355"/>
      <c r="K65" s="355"/>
      <c r="L65" s="355"/>
      <c r="M65" s="355"/>
      <c r="N65" s="355"/>
      <c r="O65" s="355"/>
      <c r="P65" s="355"/>
      <c r="Q65" s="371"/>
    </row>
    <row r="66" spans="1:17" ht="12.75">
      <c r="A66" s="492"/>
      <c r="B66" s="354"/>
      <c r="C66" s="354"/>
      <c r="D66" s="354"/>
      <c r="E66" s="354"/>
      <c r="F66" s="354"/>
      <c r="G66" s="354"/>
      <c r="H66" s="356"/>
      <c r="I66" s="356"/>
      <c r="J66" s="356"/>
      <c r="K66" s="356"/>
      <c r="L66" s="356"/>
      <c r="M66" s="356"/>
      <c r="N66" s="356"/>
      <c r="O66" s="356"/>
      <c r="P66" s="356"/>
      <c r="Q66" s="371"/>
    </row>
    <row r="67" spans="1:17" ht="12.75">
      <c r="A67" s="492" t="s">
        <v>704</v>
      </c>
      <c r="B67" s="347"/>
      <c r="C67" s="347"/>
      <c r="D67" s="347"/>
      <c r="E67" s="347"/>
      <c r="F67" s="347"/>
      <c r="G67" s="347"/>
      <c r="H67" s="357"/>
      <c r="I67" s="357"/>
      <c r="J67" s="357"/>
      <c r="K67" s="357"/>
      <c r="L67" s="357"/>
      <c r="M67" s="357"/>
      <c r="N67" s="357"/>
      <c r="O67" s="357"/>
      <c r="P67" s="357"/>
      <c r="Q67" s="347"/>
    </row>
    <row r="68" spans="1:17" ht="12.75">
      <c r="A68" s="376"/>
      <c r="B68" s="377" t="s">
        <v>705</v>
      </c>
      <c r="C68" s="377"/>
      <c r="D68" s="377"/>
      <c r="E68" s="377"/>
      <c r="F68" s="377"/>
      <c r="G68" s="377"/>
      <c r="H68" s="378">
        <f aca="true" t="shared" si="6" ref="H68:P68">$H25+H62*$H26</f>
        <v>100</v>
      </c>
      <c r="I68" s="378">
        <f t="shared" si="6"/>
        <v>101.25</v>
      </c>
      <c r="J68" s="378">
        <f t="shared" si="6"/>
        <v>102.5</v>
      </c>
      <c r="K68" s="378">
        <f t="shared" si="6"/>
        <v>103.75</v>
      </c>
      <c r="L68" s="379">
        <f t="shared" si="6"/>
        <v>105</v>
      </c>
      <c r="M68" s="378">
        <f t="shared" si="6"/>
        <v>106.25</v>
      </c>
      <c r="N68" s="378">
        <f t="shared" si="6"/>
        <v>107.5</v>
      </c>
      <c r="O68" s="378">
        <f t="shared" si="6"/>
        <v>108.75</v>
      </c>
      <c r="P68" s="378">
        <f t="shared" si="6"/>
        <v>110</v>
      </c>
      <c r="Q68" s="380"/>
    </row>
    <row r="69" spans="1:17" ht="12.75">
      <c r="A69" s="492"/>
      <c r="B69" s="381" t="s">
        <v>706</v>
      </c>
      <c r="C69" s="371"/>
      <c r="D69" s="371"/>
      <c r="E69" s="371"/>
      <c r="F69" s="371"/>
      <c r="G69" s="371"/>
      <c r="H69" s="382"/>
      <c r="I69" s="382"/>
      <c r="J69" s="382"/>
      <c r="K69" s="382"/>
      <c r="L69" s="382"/>
      <c r="M69" s="382"/>
      <c r="N69" s="382"/>
      <c r="O69" s="382"/>
      <c r="P69" s="382"/>
      <c r="Q69" s="371"/>
    </row>
    <row r="70" spans="1:28" ht="12.75">
      <c r="A70" s="492"/>
      <c r="B70" s="383">
        <f>+B71-(B72-B71)</f>
        <v>85</v>
      </c>
      <c r="C70" s="383"/>
      <c r="D70" s="383"/>
      <c r="E70" s="383"/>
      <c r="F70" s="383"/>
      <c r="G70" s="383"/>
      <c r="H70" s="366">
        <f>(H$68-$B70)*H$63+H$64</f>
        <v>8.5</v>
      </c>
      <c r="I70" s="366">
        <f aca="true" t="shared" si="7" ref="H70:P81">(I$68-$B70)*I$63+I$64</f>
        <v>8.0625</v>
      </c>
      <c r="J70" s="366">
        <f t="shared" si="7"/>
        <v>7.4999999999999964</v>
      </c>
      <c r="K70" s="366">
        <f t="shared" si="7"/>
        <v>6.812499999999992</v>
      </c>
      <c r="L70" s="366">
        <f t="shared" si="7"/>
        <v>6.000000000000001</v>
      </c>
      <c r="M70" s="366">
        <f t="shared" si="7"/>
        <v>5.062500000000001</v>
      </c>
      <c r="N70" s="366">
        <f t="shared" si="7"/>
        <v>4</v>
      </c>
      <c r="O70" s="366">
        <f t="shared" si="7"/>
        <v>2.812499999999999</v>
      </c>
      <c r="P70" s="366">
        <f t="shared" si="7"/>
        <v>1.499999999999992</v>
      </c>
      <c r="Q70" s="384"/>
      <c r="R70" s="131">
        <f aca="true" t="shared" si="8" ref="R70:R81">MAX(H70:P70)</f>
        <v>8.5</v>
      </c>
      <c r="S70" s="77">
        <f aca="true" t="shared" si="9" ref="S70:S81">IF($R70=H70,H$62,0)</f>
        <v>100</v>
      </c>
      <c r="T70" s="77">
        <f aca="true" t="shared" si="10" ref="T70:T81">IF($R70=I70,I$62,0)</f>
        <v>0</v>
      </c>
      <c r="U70" s="77">
        <f aca="true" t="shared" si="11" ref="U70:U81">IF($R70=J70,J$62,0)</f>
        <v>0</v>
      </c>
      <c r="V70" s="77">
        <f aca="true" t="shared" si="12" ref="V70:V81">IF($R70=K70,K$62,0)</f>
        <v>0</v>
      </c>
      <c r="W70" s="77">
        <f aca="true" t="shared" si="13" ref="W70:W81">IF($R70=L70,L$62,0)</f>
        <v>0</v>
      </c>
      <c r="X70" s="77">
        <f aca="true" t="shared" si="14" ref="X70:X81">IF($R70=M70,M$62,0)</f>
        <v>0</v>
      </c>
      <c r="Y70" s="77">
        <f aca="true" t="shared" si="15" ref="Y70:Y81">IF($R70=N70,N$62,0)</f>
        <v>0</v>
      </c>
      <c r="Z70" s="77">
        <f aca="true" t="shared" si="16" ref="Z70:Z81">IF($R70=O70,O$62,0)</f>
        <v>0</v>
      </c>
      <c r="AA70" s="77">
        <f aca="true" t="shared" si="17" ref="AA70:AA81">IF($R70=P70,P$62,0)</f>
        <v>0</v>
      </c>
      <c r="AB70" s="77">
        <f aca="true" t="shared" si="18" ref="AB70:AB81">SUM(S70:AA70)</f>
        <v>100</v>
      </c>
    </row>
    <row r="71" spans="1:28" ht="12.75">
      <c r="A71" s="492"/>
      <c r="B71" s="383">
        <f>+B72-(B73-B72)</f>
        <v>90</v>
      </c>
      <c r="C71" s="383"/>
      <c r="D71" s="383"/>
      <c r="E71" s="383"/>
      <c r="F71" s="383"/>
      <c r="G71" s="383"/>
      <c r="H71" s="366">
        <f t="shared" si="7"/>
        <v>6.5</v>
      </c>
      <c r="I71" s="366">
        <f t="shared" si="7"/>
        <v>6.1875</v>
      </c>
      <c r="J71" s="366">
        <f t="shared" si="7"/>
        <v>5.7499999999999964</v>
      </c>
      <c r="K71" s="366">
        <f t="shared" si="7"/>
        <v>5.187499999999992</v>
      </c>
      <c r="L71" s="366">
        <f t="shared" si="7"/>
        <v>4.500000000000001</v>
      </c>
      <c r="M71" s="366">
        <f t="shared" si="7"/>
        <v>3.6875</v>
      </c>
      <c r="N71" s="366">
        <f t="shared" si="7"/>
        <v>2.75</v>
      </c>
      <c r="O71" s="366">
        <f t="shared" si="7"/>
        <v>1.6875</v>
      </c>
      <c r="P71" s="366">
        <f t="shared" si="7"/>
        <v>0.499999999999992</v>
      </c>
      <c r="Q71" s="384"/>
      <c r="R71" s="131">
        <f t="shared" si="8"/>
        <v>6.5</v>
      </c>
      <c r="S71" s="77">
        <f t="shared" si="9"/>
        <v>100</v>
      </c>
      <c r="T71" s="77">
        <f t="shared" si="10"/>
        <v>0</v>
      </c>
      <c r="U71" s="77">
        <f t="shared" si="11"/>
        <v>0</v>
      </c>
      <c r="V71" s="77">
        <f t="shared" si="12"/>
        <v>0</v>
      </c>
      <c r="W71" s="77">
        <f t="shared" si="13"/>
        <v>0</v>
      </c>
      <c r="X71" s="77">
        <f t="shared" si="14"/>
        <v>0</v>
      </c>
      <c r="Y71" s="77">
        <f t="shared" si="15"/>
        <v>0</v>
      </c>
      <c r="Z71" s="77">
        <f t="shared" si="16"/>
        <v>0</v>
      </c>
      <c r="AA71" s="77">
        <f t="shared" si="17"/>
        <v>0</v>
      </c>
      <c r="AB71" s="77">
        <f t="shared" si="18"/>
        <v>100</v>
      </c>
    </row>
    <row r="72" spans="1:28" ht="12.75">
      <c r="A72" s="492"/>
      <c r="B72" s="383">
        <f>+B73-(B74-B73)</f>
        <v>95</v>
      </c>
      <c r="C72" s="383"/>
      <c r="D72" s="383"/>
      <c r="E72" s="383"/>
      <c r="F72" s="383"/>
      <c r="G72" s="383"/>
      <c r="H72" s="366">
        <f t="shared" si="7"/>
        <v>4.5</v>
      </c>
      <c r="I72" s="366">
        <f t="shared" si="7"/>
        <v>4.3125</v>
      </c>
      <c r="J72" s="366">
        <f t="shared" si="7"/>
        <v>3.9999999999999964</v>
      </c>
      <c r="K72" s="366">
        <f t="shared" si="7"/>
        <v>3.5624999999999925</v>
      </c>
      <c r="L72" s="366">
        <f t="shared" si="7"/>
        <v>3.0000000000000004</v>
      </c>
      <c r="M72" s="366">
        <f t="shared" si="7"/>
        <v>2.3125000000000004</v>
      </c>
      <c r="N72" s="366">
        <f t="shared" si="7"/>
        <v>1.5</v>
      </c>
      <c r="O72" s="366">
        <f t="shared" si="7"/>
        <v>0.5624999999999996</v>
      </c>
      <c r="P72" s="366">
        <f t="shared" si="7"/>
        <v>-0.500000000000008</v>
      </c>
      <c r="Q72" s="384"/>
      <c r="R72" s="131">
        <f t="shared" si="8"/>
        <v>4.5</v>
      </c>
      <c r="S72" s="77">
        <f t="shared" si="9"/>
        <v>100</v>
      </c>
      <c r="T72" s="77">
        <f t="shared" si="10"/>
        <v>0</v>
      </c>
      <c r="U72" s="77">
        <f t="shared" si="11"/>
        <v>0</v>
      </c>
      <c r="V72" s="77">
        <f t="shared" si="12"/>
        <v>0</v>
      </c>
      <c r="W72" s="77">
        <f t="shared" si="13"/>
        <v>0</v>
      </c>
      <c r="X72" s="77">
        <f t="shared" si="14"/>
        <v>0</v>
      </c>
      <c r="Y72" s="77">
        <f t="shared" si="15"/>
        <v>0</v>
      </c>
      <c r="Z72" s="77">
        <f t="shared" si="16"/>
        <v>0</v>
      </c>
      <c r="AA72" s="77">
        <f t="shared" si="17"/>
        <v>0</v>
      </c>
      <c r="AB72" s="77">
        <f t="shared" si="18"/>
        <v>100</v>
      </c>
    </row>
    <row r="73" spans="1:30" ht="12.75">
      <c r="A73" s="492"/>
      <c r="B73" s="383">
        <f>+H62</f>
        <v>100</v>
      </c>
      <c r="C73" s="383"/>
      <c r="D73" s="383"/>
      <c r="E73" s="383"/>
      <c r="F73" s="383"/>
      <c r="G73" s="383"/>
      <c r="H73" s="385">
        <f t="shared" si="7"/>
        <v>2.5</v>
      </c>
      <c r="I73" s="366">
        <f t="shared" si="7"/>
        <v>2.4375</v>
      </c>
      <c r="J73" s="366">
        <f t="shared" si="7"/>
        <v>2.2499999999999964</v>
      </c>
      <c r="K73" s="366">
        <f t="shared" si="7"/>
        <v>1.9374999999999927</v>
      </c>
      <c r="L73" s="366">
        <f t="shared" si="7"/>
        <v>1.5000000000000002</v>
      </c>
      <c r="M73" s="366">
        <f t="shared" si="7"/>
        <v>0.9375000000000002</v>
      </c>
      <c r="N73" s="366">
        <f t="shared" si="7"/>
        <v>0.25</v>
      </c>
      <c r="O73" s="366">
        <f t="shared" si="7"/>
        <v>-0.5625000000000002</v>
      </c>
      <c r="P73" s="366">
        <f t="shared" si="7"/>
        <v>-1.5000000000000075</v>
      </c>
      <c r="Q73" s="384"/>
      <c r="R73" s="131">
        <f t="shared" si="8"/>
        <v>2.5</v>
      </c>
      <c r="S73" s="77">
        <f t="shared" si="9"/>
        <v>100</v>
      </c>
      <c r="T73" s="77">
        <f t="shared" si="10"/>
        <v>0</v>
      </c>
      <c r="U73" s="77">
        <f t="shared" si="11"/>
        <v>0</v>
      </c>
      <c r="V73" s="77">
        <f t="shared" si="12"/>
        <v>0</v>
      </c>
      <c r="W73" s="77">
        <f t="shared" si="13"/>
        <v>0</v>
      </c>
      <c r="X73" s="77">
        <f t="shared" si="14"/>
        <v>0</v>
      </c>
      <c r="Y73" s="77">
        <f t="shared" si="15"/>
        <v>0</v>
      </c>
      <c r="Z73" s="77">
        <f t="shared" si="16"/>
        <v>0</v>
      </c>
      <c r="AA73" s="77">
        <f t="shared" si="17"/>
        <v>0</v>
      </c>
      <c r="AB73" s="77">
        <f t="shared" si="18"/>
        <v>100</v>
      </c>
      <c r="AC73" s="77" t="str">
        <f aca="true" t="shared" si="19" ref="AC73:AC81">IF(AB73=B73,"OK",err)</f>
        <v>OK</v>
      </c>
      <c r="AD73" s="77">
        <f aca="true" t="shared" si="20" ref="AD73:AD81">+IF(AC73="OK",1)</f>
        <v>1</v>
      </c>
    </row>
    <row r="74" spans="1:30" ht="12.75">
      <c r="A74" s="492"/>
      <c r="B74" s="383">
        <f>+I62</f>
        <v>105</v>
      </c>
      <c r="C74" s="383"/>
      <c r="D74" s="383"/>
      <c r="E74" s="383"/>
      <c r="F74" s="383"/>
      <c r="G74" s="383"/>
      <c r="H74" s="366">
        <f t="shared" si="7"/>
        <v>0.5</v>
      </c>
      <c r="I74" s="385">
        <f t="shared" si="7"/>
        <v>0.5625</v>
      </c>
      <c r="J74" s="366">
        <f t="shared" si="7"/>
        <v>0.49999999999999645</v>
      </c>
      <c r="K74" s="366">
        <f t="shared" si="7"/>
        <v>0.31249999999999295</v>
      </c>
      <c r="L74" s="366">
        <f t="shared" si="7"/>
        <v>0</v>
      </c>
      <c r="M74" s="366">
        <f t="shared" si="7"/>
        <v>-0.4375</v>
      </c>
      <c r="N74" s="366">
        <f t="shared" si="7"/>
        <v>-1</v>
      </c>
      <c r="O74" s="366">
        <f t="shared" si="7"/>
        <v>-1.6875</v>
      </c>
      <c r="P74" s="366">
        <f t="shared" si="7"/>
        <v>-2.500000000000007</v>
      </c>
      <c r="Q74" s="384"/>
      <c r="R74" s="131">
        <f t="shared" si="8"/>
        <v>0.5625</v>
      </c>
      <c r="S74" s="77">
        <f t="shared" si="9"/>
        <v>0</v>
      </c>
      <c r="T74" s="77">
        <f t="shared" si="10"/>
        <v>105</v>
      </c>
      <c r="U74" s="77">
        <f t="shared" si="11"/>
        <v>0</v>
      </c>
      <c r="V74" s="77">
        <f t="shared" si="12"/>
        <v>0</v>
      </c>
      <c r="W74" s="77">
        <f t="shared" si="13"/>
        <v>0</v>
      </c>
      <c r="X74" s="77">
        <f t="shared" si="14"/>
        <v>0</v>
      </c>
      <c r="Y74" s="77">
        <f t="shared" si="15"/>
        <v>0</v>
      </c>
      <c r="Z74" s="77">
        <f t="shared" si="16"/>
        <v>0</v>
      </c>
      <c r="AA74" s="77">
        <f t="shared" si="17"/>
        <v>0</v>
      </c>
      <c r="AB74" s="77">
        <f t="shared" si="18"/>
        <v>105</v>
      </c>
      <c r="AC74" s="77" t="str">
        <f t="shared" si="19"/>
        <v>OK</v>
      </c>
      <c r="AD74" s="77">
        <f t="shared" si="20"/>
        <v>1</v>
      </c>
    </row>
    <row r="75" spans="1:30" ht="12.75">
      <c r="A75" s="492"/>
      <c r="B75" s="383">
        <f aca="true" t="shared" si="21" ref="B75:B81">+B74+B74-B73</f>
        <v>110</v>
      </c>
      <c r="C75" s="383"/>
      <c r="D75" s="383"/>
      <c r="E75" s="383"/>
      <c r="F75" s="383"/>
      <c r="G75" s="383"/>
      <c r="H75" s="366">
        <f t="shared" si="7"/>
        <v>-1.5</v>
      </c>
      <c r="I75" s="366">
        <f t="shared" si="7"/>
        <v>-1.3125</v>
      </c>
      <c r="J75" s="385">
        <f t="shared" si="7"/>
        <v>-1.2500000000000036</v>
      </c>
      <c r="K75" s="366">
        <f t="shared" si="7"/>
        <v>-1.3125000000000067</v>
      </c>
      <c r="L75" s="366">
        <f t="shared" si="7"/>
        <v>-1.5000000000000002</v>
      </c>
      <c r="M75" s="366">
        <f t="shared" si="7"/>
        <v>-1.8125</v>
      </c>
      <c r="N75" s="366">
        <f t="shared" si="7"/>
        <v>-2.25</v>
      </c>
      <c r="O75" s="366">
        <f t="shared" si="7"/>
        <v>-2.8125</v>
      </c>
      <c r="P75" s="366">
        <f t="shared" si="7"/>
        <v>-3.500000000000007</v>
      </c>
      <c r="Q75" s="384"/>
      <c r="R75" s="131">
        <f t="shared" si="8"/>
        <v>-1.2500000000000036</v>
      </c>
      <c r="S75" s="77">
        <f t="shared" si="9"/>
        <v>0</v>
      </c>
      <c r="T75" s="77">
        <f t="shared" si="10"/>
        <v>0</v>
      </c>
      <c r="U75" s="77">
        <f t="shared" si="11"/>
        <v>110</v>
      </c>
      <c r="V75" s="77">
        <f t="shared" si="12"/>
        <v>0</v>
      </c>
      <c r="W75" s="77">
        <f t="shared" si="13"/>
        <v>0</v>
      </c>
      <c r="X75" s="77">
        <f t="shared" si="14"/>
        <v>0</v>
      </c>
      <c r="Y75" s="77">
        <f t="shared" si="15"/>
        <v>0</v>
      </c>
      <c r="Z75" s="77">
        <f t="shared" si="16"/>
        <v>0</v>
      </c>
      <c r="AA75" s="77">
        <f t="shared" si="17"/>
        <v>0</v>
      </c>
      <c r="AB75" s="77">
        <f t="shared" si="18"/>
        <v>110</v>
      </c>
      <c r="AC75" s="77" t="str">
        <f t="shared" si="19"/>
        <v>OK</v>
      </c>
      <c r="AD75" s="77">
        <f t="shared" si="20"/>
        <v>1</v>
      </c>
    </row>
    <row r="76" spans="1:30" ht="12.75">
      <c r="A76" s="492"/>
      <c r="B76" s="383">
        <f t="shared" si="21"/>
        <v>115</v>
      </c>
      <c r="C76" s="383"/>
      <c r="D76" s="383"/>
      <c r="E76" s="383"/>
      <c r="F76" s="383"/>
      <c r="G76" s="383"/>
      <c r="H76" s="366">
        <f t="shared" si="7"/>
        <v>-3.5</v>
      </c>
      <c r="I76" s="366">
        <f t="shared" si="7"/>
        <v>-3.1875</v>
      </c>
      <c r="J76" s="366">
        <f t="shared" si="7"/>
        <v>-3.0000000000000036</v>
      </c>
      <c r="K76" s="385">
        <f t="shared" si="7"/>
        <v>-2.9375000000000067</v>
      </c>
      <c r="L76" s="366">
        <f t="shared" si="7"/>
        <v>-3.0000000000000004</v>
      </c>
      <c r="M76" s="366">
        <f t="shared" si="7"/>
        <v>-3.1875</v>
      </c>
      <c r="N76" s="366">
        <f t="shared" si="7"/>
        <v>-3.5</v>
      </c>
      <c r="O76" s="366">
        <f t="shared" si="7"/>
        <v>-3.9375</v>
      </c>
      <c r="P76" s="366">
        <f t="shared" si="7"/>
        <v>-4.500000000000007</v>
      </c>
      <c r="Q76" s="384"/>
      <c r="R76" s="131">
        <f t="shared" si="8"/>
        <v>-2.9375000000000067</v>
      </c>
      <c r="S76" s="77">
        <f t="shared" si="9"/>
        <v>0</v>
      </c>
      <c r="T76" s="77">
        <f t="shared" si="10"/>
        <v>0</v>
      </c>
      <c r="U76" s="77">
        <f t="shared" si="11"/>
        <v>0</v>
      </c>
      <c r="V76" s="77">
        <f t="shared" si="12"/>
        <v>115</v>
      </c>
      <c r="W76" s="77">
        <f t="shared" si="13"/>
        <v>0</v>
      </c>
      <c r="X76" s="77">
        <f t="shared" si="14"/>
        <v>0</v>
      </c>
      <c r="Y76" s="77">
        <f t="shared" si="15"/>
        <v>0</v>
      </c>
      <c r="Z76" s="77">
        <f t="shared" si="16"/>
        <v>0</v>
      </c>
      <c r="AA76" s="77">
        <f t="shared" si="17"/>
        <v>0</v>
      </c>
      <c r="AB76" s="77">
        <f t="shared" si="18"/>
        <v>115</v>
      </c>
      <c r="AC76" s="77" t="str">
        <f t="shared" si="19"/>
        <v>OK</v>
      </c>
      <c r="AD76" s="77">
        <f t="shared" si="20"/>
        <v>1</v>
      </c>
    </row>
    <row r="77" spans="1:30" ht="12.75">
      <c r="A77" s="492"/>
      <c r="B77" s="383">
        <f t="shared" si="21"/>
        <v>120</v>
      </c>
      <c r="C77" s="383"/>
      <c r="D77" s="383"/>
      <c r="E77" s="383"/>
      <c r="F77" s="383"/>
      <c r="G77" s="383"/>
      <c r="H77" s="366">
        <f t="shared" si="7"/>
        <v>-5.5</v>
      </c>
      <c r="I77" s="366">
        <f t="shared" si="7"/>
        <v>-5.0625</v>
      </c>
      <c r="J77" s="366">
        <f t="shared" si="7"/>
        <v>-4.7500000000000036</v>
      </c>
      <c r="K77" s="366">
        <f t="shared" si="7"/>
        <v>-4.562500000000006</v>
      </c>
      <c r="L77" s="385">
        <f t="shared" si="7"/>
        <v>-4.500000000000001</v>
      </c>
      <c r="M77" s="366">
        <f t="shared" si="7"/>
        <v>-4.5625</v>
      </c>
      <c r="N77" s="366">
        <f t="shared" si="7"/>
        <v>-4.75</v>
      </c>
      <c r="O77" s="366">
        <f t="shared" si="7"/>
        <v>-5.0625</v>
      </c>
      <c r="P77" s="366">
        <f t="shared" si="7"/>
        <v>-5.500000000000007</v>
      </c>
      <c r="Q77" s="384"/>
      <c r="R77" s="131">
        <f t="shared" si="8"/>
        <v>-4.500000000000001</v>
      </c>
      <c r="S77" s="77">
        <f t="shared" si="9"/>
        <v>0</v>
      </c>
      <c r="T77" s="77">
        <f t="shared" si="10"/>
        <v>0</v>
      </c>
      <c r="U77" s="77">
        <f t="shared" si="11"/>
        <v>0</v>
      </c>
      <c r="V77" s="77">
        <f t="shared" si="12"/>
        <v>0</v>
      </c>
      <c r="W77" s="77">
        <f t="shared" si="13"/>
        <v>120</v>
      </c>
      <c r="X77" s="77">
        <f t="shared" si="14"/>
        <v>0</v>
      </c>
      <c r="Y77" s="77">
        <f t="shared" si="15"/>
        <v>0</v>
      </c>
      <c r="Z77" s="77">
        <f t="shared" si="16"/>
        <v>0</v>
      </c>
      <c r="AA77" s="77">
        <f t="shared" si="17"/>
        <v>0</v>
      </c>
      <c r="AB77" s="77">
        <f t="shared" si="18"/>
        <v>120</v>
      </c>
      <c r="AC77" s="77" t="str">
        <f t="shared" si="19"/>
        <v>OK</v>
      </c>
      <c r="AD77" s="77">
        <f t="shared" si="20"/>
        <v>1</v>
      </c>
    </row>
    <row r="78" spans="1:30" ht="12.75">
      <c r="A78" s="492"/>
      <c r="B78" s="383">
        <f t="shared" si="21"/>
        <v>125</v>
      </c>
      <c r="C78" s="383"/>
      <c r="D78" s="383"/>
      <c r="E78" s="383"/>
      <c r="F78" s="383"/>
      <c r="G78" s="383"/>
      <c r="H78" s="366">
        <f t="shared" si="7"/>
        <v>-7.5</v>
      </c>
      <c r="I78" s="366">
        <f t="shared" si="7"/>
        <v>-6.9375</v>
      </c>
      <c r="J78" s="366">
        <f t="shared" si="7"/>
        <v>-6.500000000000003</v>
      </c>
      <c r="K78" s="366">
        <f t="shared" si="7"/>
        <v>-6.187500000000006</v>
      </c>
      <c r="L78" s="366">
        <f t="shared" si="7"/>
        <v>-6.000000000000001</v>
      </c>
      <c r="M78" s="385">
        <f t="shared" si="7"/>
        <v>-5.9375</v>
      </c>
      <c r="N78" s="366">
        <f t="shared" si="7"/>
        <v>-6</v>
      </c>
      <c r="O78" s="366">
        <f t="shared" si="7"/>
        <v>-6.1875</v>
      </c>
      <c r="P78" s="366">
        <f t="shared" si="7"/>
        <v>-6.500000000000006</v>
      </c>
      <c r="Q78" s="384"/>
      <c r="R78" s="131">
        <f t="shared" si="8"/>
        <v>-5.9375</v>
      </c>
      <c r="S78" s="77">
        <f t="shared" si="9"/>
        <v>0</v>
      </c>
      <c r="T78" s="77">
        <f t="shared" si="10"/>
        <v>0</v>
      </c>
      <c r="U78" s="77">
        <f t="shared" si="11"/>
        <v>0</v>
      </c>
      <c r="V78" s="77">
        <f t="shared" si="12"/>
        <v>0</v>
      </c>
      <c r="W78" s="77">
        <f t="shared" si="13"/>
        <v>0</v>
      </c>
      <c r="X78" s="77">
        <f t="shared" si="14"/>
        <v>125</v>
      </c>
      <c r="Y78" s="77">
        <f t="shared" si="15"/>
        <v>0</v>
      </c>
      <c r="Z78" s="77">
        <f t="shared" si="16"/>
        <v>0</v>
      </c>
      <c r="AA78" s="77">
        <f t="shared" si="17"/>
        <v>0</v>
      </c>
      <c r="AB78" s="77">
        <f t="shared" si="18"/>
        <v>125</v>
      </c>
      <c r="AC78" s="77" t="str">
        <f t="shared" si="19"/>
        <v>OK</v>
      </c>
      <c r="AD78" s="77">
        <f t="shared" si="20"/>
        <v>1</v>
      </c>
    </row>
    <row r="79" spans="1:30" ht="12.75">
      <c r="A79" s="492"/>
      <c r="B79" s="383">
        <f t="shared" si="21"/>
        <v>130</v>
      </c>
      <c r="C79" s="383"/>
      <c r="D79" s="383"/>
      <c r="E79" s="383"/>
      <c r="F79" s="383"/>
      <c r="G79" s="383"/>
      <c r="H79" s="366">
        <f t="shared" si="7"/>
        <v>-9.5</v>
      </c>
      <c r="I79" s="366">
        <f t="shared" si="7"/>
        <v>-8.8125</v>
      </c>
      <c r="J79" s="366">
        <f t="shared" si="7"/>
        <v>-8.250000000000004</v>
      </c>
      <c r="K79" s="366">
        <f t="shared" si="7"/>
        <v>-7.812500000000005</v>
      </c>
      <c r="L79" s="366">
        <f t="shared" si="7"/>
        <v>-7.500000000000001</v>
      </c>
      <c r="M79" s="366">
        <f t="shared" si="7"/>
        <v>-7.312500000000001</v>
      </c>
      <c r="N79" s="385">
        <f t="shared" si="7"/>
        <v>-7.25</v>
      </c>
      <c r="O79" s="366">
        <f t="shared" si="7"/>
        <v>-7.312499999999999</v>
      </c>
      <c r="P79" s="366">
        <f t="shared" si="7"/>
        <v>-7.500000000000006</v>
      </c>
      <c r="Q79" s="384"/>
      <c r="R79" s="131">
        <f t="shared" si="8"/>
        <v>-7.25</v>
      </c>
      <c r="S79" s="77">
        <f t="shared" si="9"/>
        <v>0</v>
      </c>
      <c r="T79" s="77">
        <f t="shared" si="10"/>
        <v>0</v>
      </c>
      <c r="U79" s="77">
        <f t="shared" si="11"/>
        <v>0</v>
      </c>
      <c r="V79" s="77">
        <f t="shared" si="12"/>
        <v>0</v>
      </c>
      <c r="W79" s="77">
        <f t="shared" si="13"/>
        <v>0</v>
      </c>
      <c r="X79" s="77">
        <f t="shared" si="14"/>
        <v>0</v>
      </c>
      <c r="Y79" s="77">
        <f t="shared" si="15"/>
        <v>130</v>
      </c>
      <c r="Z79" s="77">
        <f t="shared" si="16"/>
        <v>0</v>
      </c>
      <c r="AA79" s="77">
        <f t="shared" si="17"/>
        <v>0</v>
      </c>
      <c r="AB79" s="77">
        <f t="shared" si="18"/>
        <v>130</v>
      </c>
      <c r="AC79" s="77" t="str">
        <f t="shared" si="19"/>
        <v>OK</v>
      </c>
      <c r="AD79" s="77">
        <f t="shared" si="20"/>
        <v>1</v>
      </c>
    </row>
    <row r="80" spans="1:30" ht="12.75">
      <c r="A80" s="492"/>
      <c r="B80" s="383">
        <f t="shared" si="21"/>
        <v>135</v>
      </c>
      <c r="C80" s="383"/>
      <c r="D80" s="383"/>
      <c r="E80" s="383"/>
      <c r="F80" s="383"/>
      <c r="G80" s="383"/>
      <c r="H80" s="366">
        <f t="shared" si="7"/>
        <v>-11.5</v>
      </c>
      <c r="I80" s="366">
        <f t="shared" si="7"/>
        <v>-10.6875</v>
      </c>
      <c r="J80" s="366">
        <f t="shared" si="7"/>
        <v>-10.000000000000004</v>
      </c>
      <c r="K80" s="366">
        <f t="shared" si="7"/>
        <v>-9.437500000000005</v>
      </c>
      <c r="L80" s="366">
        <f t="shared" si="7"/>
        <v>-9.000000000000002</v>
      </c>
      <c r="M80" s="366">
        <f t="shared" si="7"/>
        <v>-8.6875</v>
      </c>
      <c r="N80" s="366">
        <f t="shared" si="7"/>
        <v>-8.5</v>
      </c>
      <c r="O80" s="385">
        <f t="shared" si="7"/>
        <v>-8.4375</v>
      </c>
      <c r="P80" s="366">
        <f t="shared" si="7"/>
        <v>-8.500000000000007</v>
      </c>
      <c r="Q80" s="384"/>
      <c r="R80" s="131">
        <f t="shared" si="8"/>
        <v>-8.4375</v>
      </c>
      <c r="S80" s="77">
        <f t="shared" si="9"/>
        <v>0</v>
      </c>
      <c r="T80" s="77">
        <f t="shared" si="10"/>
        <v>0</v>
      </c>
      <c r="U80" s="77">
        <f t="shared" si="11"/>
        <v>0</v>
      </c>
      <c r="V80" s="77">
        <f t="shared" si="12"/>
        <v>0</v>
      </c>
      <c r="W80" s="77">
        <f t="shared" si="13"/>
        <v>0</v>
      </c>
      <c r="X80" s="77">
        <f t="shared" si="14"/>
        <v>0</v>
      </c>
      <c r="Y80" s="77">
        <f t="shared" si="15"/>
        <v>0</v>
      </c>
      <c r="Z80" s="77">
        <f t="shared" si="16"/>
        <v>135</v>
      </c>
      <c r="AA80" s="77">
        <f t="shared" si="17"/>
        <v>0</v>
      </c>
      <c r="AB80" s="77">
        <f t="shared" si="18"/>
        <v>135</v>
      </c>
      <c r="AC80" s="77" t="str">
        <f t="shared" si="19"/>
        <v>OK</v>
      </c>
      <c r="AD80" s="77">
        <f t="shared" si="20"/>
        <v>1</v>
      </c>
    </row>
    <row r="81" spans="1:30" ht="12.75">
      <c r="A81" s="490"/>
      <c r="B81" s="386">
        <f t="shared" si="21"/>
        <v>140</v>
      </c>
      <c r="C81" s="386"/>
      <c r="D81" s="386"/>
      <c r="E81" s="386"/>
      <c r="F81" s="386"/>
      <c r="G81" s="386"/>
      <c r="H81" s="368">
        <f t="shared" si="7"/>
        <v>-13.5</v>
      </c>
      <c r="I81" s="368">
        <f t="shared" si="7"/>
        <v>-12.5625</v>
      </c>
      <c r="J81" s="368">
        <f t="shared" si="7"/>
        <v>-11.750000000000004</v>
      </c>
      <c r="K81" s="368">
        <f t="shared" si="7"/>
        <v>-11.062500000000005</v>
      </c>
      <c r="L81" s="368">
        <f t="shared" si="7"/>
        <v>-10.500000000000002</v>
      </c>
      <c r="M81" s="368">
        <f t="shared" si="7"/>
        <v>-10.0625</v>
      </c>
      <c r="N81" s="368">
        <f t="shared" si="7"/>
        <v>-9.75</v>
      </c>
      <c r="O81" s="368">
        <f t="shared" si="7"/>
        <v>-9.5625</v>
      </c>
      <c r="P81" s="387">
        <f t="shared" si="7"/>
        <v>-9.500000000000005</v>
      </c>
      <c r="Q81" s="384"/>
      <c r="R81" s="131">
        <f t="shared" si="8"/>
        <v>-9.500000000000005</v>
      </c>
      <c r="S81" s="77">
        <f t="shared" si="9"/>
        <v>0</v>
      </c>
      <c r="T81" s="77">
        <f t="shared" si="10"/>
        <v>0</v>
      </c>
      <c r="U81" s="77">
        <f t="shared" si="11"/>
        <v>0</v>
      </c>
      <c r="V81" s="77">
        <f t="shared" si="12"/>
        <v>0</v>
      </c>
      <c r="W81" s="77">
        <f t="shared" si="13"/>
        <v>0</v>
      </c>
      <c r="X81" s="77">
        <f t="shared" si="14"/>
        <v>0</v>
      </c>
      <c r="Y81" s="77">
        <f t="shared" si="15"/>
        <v>0</v>
      </c>
      <c r="Z81" s="77">
        <f t="shared" si="16"/>
        <v>0</v>
      </c>
      <c r="AA81" s="77">
        <f t="shared" si="17"/>
        <v>140</v>
      </c>
      <c r="AB81" s="77">
        <f t="shared" si="18"/>
        <v>140</v>
      </c>
      <c r="AC81" s="77" t="str">
        <f t="shared" si="19"/>
        <v>OK</v>
      </c>
      <c r="AD81" s="77">
        <f t="shared" si="20"/>
        <v>1</v>
      </c>
    </row>
    <row r="83" spans="2:8" ht="12.75">
      <c r="B83" s="77" t="s">
        <v>707</v>
      </c>
      <c r="H83" s="388" t="str">
        <f>+IF(SUM(AD73:AD81)=9,"ok!!","oh no!")</f>
        <v>ok!!</v>
      </c>
    </row>
    <row r="86" spans="2:16" ht="12.75">
      <c r="B86" s="358" t="s">
        <v>717</v>
      </c>
      <c r="C86" s="358"/>
      <c r="D86" s="358"/>
      <c r="E86" s="358"/>
      <c r="F86" s="358"/>
      <c r="G86" s="358"/>
      <c r="H86" s="362">
        <v>100</v>
      </c>
      <c r="I86" s="363"/>
      <c r="J86" s="363"/>
      <c r="K86" s="363"/>
      <c r="L86" s="363"/>
      <c r="M86" s="363"/>
      <c r="N86" s="363"/>
      <c r="O86" s="363"/>
      <c r="P86" s="363"/>
    </row>
    <row r="87" spans="2:16" ht="12.75">
      <c r="B87" s="358" t="s">
        <v>718</v>
      </c>
      <c r="C87" s="358"/>
      <c r="D87" s="358"/>
      <c r="E87" s="358"/>
      <c r="F87" s="358"/>
      <c r="G87" s="358"/>
      <c r="H87" s="364">
        <v>5</v>
      </c>
      <c r="I87" s="363"/>
      <c r="J87" s="363"/>
      <c r="K87" s="363"/>
      <c r="L87" s="363"/>
      <c r="M87" s="363"/>
      <c r="N87" s="363"/>
      <c r="O87" s="363"/>
      <c r="P87" s="363"/>
    </row>
    <row r="88" spans="2:16" ht="12.75">
      <c r="B88" s="77" t="s">
        <v>719</v>
      </c>
      <c r="H88" s="131">
        <f>+H86</f>
        <v>100</v>
      </c>
      <c r="I88" s="131">
        <f aca="true" t="shared" si="22" ref="I88:P88">+H88+$H$87</f>
        <v>105</v>
      </c>
      <c r="J88" s="131">
        <f t="shared" si="22"/>
        <v>110</v>
      </c>
      <c r="K88" s="131">
        <f t="shared" si="22"/>
        <v>115</v>
      </c>
      <c r="L88" s="131">
        <f t="shared" si="22"/>
        <v>120</v>
      </c>
      <c r="M88" s="131">
        <f t="shared" si="22"/>
        <v>125</v>
      </c>
      <c r="N88" s="131">
        <f t="shared" si="22"/>
        <v>130</v>
      </c>
      <c r="O88" s="131">
        <f t="shared" si="22"/>
        <v>135</v>
      </c>
      <c r="P88" s="131">
        <f t="shared" si="22"/>
        <v>140</v>
      </c>
    </row>
    <row r="89" spans="2:16" ht="12.75">
      <c r="B89" s="77" t="s">
        <v>197</v>
      </c>
      <c r="H89" s="131">
        <f>+$H$25+$H$26*H88</f>
        <v>100</v>
      </c>
      <c r="I89" s="131">
        <f aca="true" t="shared" si="23" ref="I89:P89">+$H$25+$H$26*I88</f>
        <v>101.25</v>
      </c>
      <c r="J89" s="131">
        <f t="shared" si="23"/>
        <v>102.5</v>
      </c>
      <c r="K89" s="131">
        <f t="shared" si="23"/>
        <v>103.75</v>
      </c>
      <c r="L89" s="131">
        <f t="shared" si="23"/>
        <v>105</v>
      </c>
      <c r="M89" s="131">
        <f t="shared" si="23"/>
        <v>106.25</v>
      </c>
      <c r="N89" s="131">
        <f t="shared" si="23"/>
        <v>107.5</v>
      </c>
      <c r="O89" s="131">
        <f t="shared" si="23"/>
        <v>108.75</v>
      </c>
      <c r="P89" s="131">
        <f t="shared" si="23"/>
        <v>110</v>
      </c>
    </row>
    <row r="90" spans="2:16" ht="12.75">
      <c r="B90" s="77" t="s">
        <v>720</v>
      </c>
      <c r="H90" s="361">
        <f aca="true" t="shared" si="24" ref="H90:P90">+$H$23-$H$24*H88</f>
        <v>0.4</v>
      </c>
      <c r="I90" s="361">
        <f t="shared" si="24"/>
        <v>0.375</v>
      </c>
      <c r="J90" s="361">
        <f t="shared" si="24"/>
        <v>0.35</v>
      </c>
      <c r="K90" s="361">
        <f t="shared" si="24"/>
        <v>0.32499999999999996</v>
      </c>
      <c r="L90" s="361">
        <f t="shared" si="24"/>
        <v>0.30000000000000004</v>
      </c>
      <c r="M90" s="361">
        <f t="shared" si="24"/>
        <v>0.275</v>
      </c>
      <c r="N90" s="361">
        <f t="shared" si="24"/>
        <v>0.25</v>
      </c>
      <c r="O90" s="361">
        <f t="shared" si="24"/>
        <v>0.22499999999999998</v>
      </c>
      <c r="P90" s="361">
        <f t="shared" si="24"/>
        <v>0.19999999999999996</v>
      </c>
    </row>
    <row r="91" spans="2:16" ht="12.75">
      <c r="B91" s="77" t="s">
        <v>721</v>
      </c>
      <c r="H91" s="131">
        <f aca="true" t="shared" si="25" ref="H91:P91">-(-$H$24*$H$25*H88+$H$23*$H$26*H88-$H$24*$H$26*H88^2+$H$24*H88*H88/2)+$H$27</f>
        <v>2.5</v>
      </c>
      <c r="I91" s="131">
        <f t="shared" si="25"/>
        <v>1.96875</v>
      </c>
      <c r="J91" s="359">
        <f t="shared" si="25"/>
        <v>1.3749999999999964</v>
      </c>
      <c r="K91" s="131">
        <f t="shared" si="25"/>
        <v>0.7187499999999929</v>
      </c>
      <c r="L91" s="131">
        <f t="shared" si="25"/>
        <v>0</v>
      </c>
      <c r="M91" s="131">
        <f t="shared" si="25"/>
        <v>-0.78125</v>
      </c>
      <c r="N91" s="131">
        <f t="shared" si="25"/>
        <v>-1.625</v>
      </c>
      <c r="O91" s="131">
        <f t="shared" si="25"/>
        <v>-2.53125</v>
      </c>
      <c r="P91" s="131">
        <f t="shared" si="25"/>
        <v>-3.500000000000007</v>
      </c>
    </row>
    <row r="92" spans="2:16" ht="12.75">
      <c r="B92" s="77" t="s">
        <v>722</v>
      </c>
      <c r="H92" s="363"/>
      <c r="I92" s="360">
        <f aca="true" t="shared" si="26" ref="I92:P92">-(-$H$24*$H$26*2*I88+($H$23*$H$26-$H$24*$H$25+I88*$H$24))</f>
        <v>-0.11249999999999999</v>
      </c>
      <c r="J92" s="360">
        <f t="shared" si="26"/>
        <v>-0.125</v>
      </c>
      <c r="K92" s="360">
        <f t="shared" si="26"/>
        <v>-0.1375</v>
      </c>
      <c r="L92" s="360">
        <f t="shared" si="26"/>
        <v>-0.14999999999999997</v>
      </c>
      <c r="M92" s="360">
        <f t="shared" si="26"/>
        <v>-0.16249999999999998</v>
      </c>
      <c r="N92" s="360">
        <f t="shared" si="26"/>
        <v>-0.175</v>
      </c>
      <c r="O92" s="360">
        <f t="shared" si="26"/>
        <v>-0.1875</v>
      </c>
      <c r="P92" s="360">
        <f t="shared" si="26"/>
        <v>-0.2</v>
      </c>
    </row>
    <row r="93" spans="2:16" ht="12.75">
      <c r="B93" s="77" t="s">
        <v>723</v>
      </c>
      <c r="H93" s="361"/>
      <c r="I93" s="361"/>
      <c r="J93" s="361"/>
      <c r="K93" s="361"/>
      <c r="L93" s="361"/>
      <c r="M93" s="361"/>
      <c r="N93" s="361"/>
      <c r="O93" s="361"/>
      <c r="P93" s="361"/>
    </row>
    <row r="94" spans="2:16" ht="12.75">
      <c r="B94" s="77" t="s">
        <v>724</v>
      </c>
      <c r="H94" s="131"/>
      <c r="I94" s="131">
        <f>+(I89-I88)*I90-(H89-I88)*H90</f>
        <v>0.59375</v>
      </c>
      <c r="J94" s="131">
        <f aca="true" t="shared" si="27" ref="J94:P94">+(J89-J88)*J90-(I89-J88)*I90</f>
        <v>0.65625</v>
      </c>
      <c r="K94" s="131">
        <f t="shared" si="27"/>
        <v>0.7187500000000004</v>
      </c>
      <c r="L94" s="131">
        <f t="shared" si="27"/>
        <v>0.7812499999999982</v>
      </c>
      <c r="M94" s="131">
        <f t="shared" si="27"/>
        <v>0.8437500000000009</v>
      </c>
      <c r="N94" s="131">
        <f t="shared" si="27"/>
        <v>0.9062500000000009</v>
      </c>
      <c r="O94" s="131">
        <f t="shared" si="27"/>
        <v>0.9687500000000009</v>
      </c>
      <c r="P94" s="131">
        <f t="shared" si="27"/>
        <v>1.0312500000000009</v>
      </c>
    </row>
    <row r="95" spans="2:16" ht="12.75">
      <c r="B95" s="77" t="s">
        <v>725</v>
      </c>
      <c r="H95" s="363"/>
      <c r="I95" s="360">
        <f aca="true" t="shared" si="28" ref="I95:P95">+I94/(I88-H88)</f>
        <v>0.11875</v>
      </c>
      <c r="J95" s="360">
        <f t="shared" si="28"/>
        <v>0.13125</v>
      </c>
      <c r="K95" s="360">
        <f t="shared" si="28"/>
        <v>0.1437500000000001</v>
      </c>
      <c r="L95" s="360">
        <f t="shared" si="28"/>
        <v>0.15624999999999964</v>
      </c>
      <c r="M95" s="360">
        <f t="shared" si="28"/>
        <v>0.16875000000000018</v>
      </c>
      <c r="N95" s="360">
        <f t="shared" si="28"/>
        <v>0.1812500000000002</v>
      </c>
      <c r="O95" s="360">
        <f t="shared" si="28"/>
        <v>0.19375000000000017</v>
      </c>
      <c r="P95" s="360">
        <f t="shared" si="28"/>
        <v>0.20625000000000018</v>
      </c>
    </row>
  </sheetData>
  <mergeCells count="1">
    <mergeCell ref="H44:L4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IQ222"/>
  <sheetViews>
    <sheetView zoomScale="55" zoomScaleNormal="55" workbookViewId="0" topLeftCell="A1">
      <pane xSplit="4" ySplit="4" topLeftCell="E5" activePane="bottomRight" state="frozen"/>
      <selection pane="topLeft" activeCell="F32" sqref="F32"/>
      <selection pane="topRight" activeCell="F32" sqref="F32"/>
      <selection pane="bottomLeft" activeCell="F32" sqref="F32"/>
      <selection pane="bottomRight" activeCell="A1" sqref="A1"/>
    </sheetView>
  </sheetViews>
  <sheetFormatPr defaultColWidth="9.00390625" defaultRowHeight="15"/>
  <cols>
    <col min="1" max="1" width="2.625" style="71" customWidth="1"/>
    <col min="2" max="2" width="2.625" style="63" customWidth="1"/>
    <col min="3" max="3" width="43.125" style="63" customWidth="1"/>
    <col min="4" max="4" width="12.25390625" style="71" customWidth="1"/>
    <col min="5" max="5" width="9.375" style="71" customWidth="1"/>
    <col min="6" max="6" width="11.875" style="71" customWidth="1"/>
    <col min="7" max="12" width="9.75390625" style="63" customWidth="1"/>
    <col min="13" max="13" width="10.875" style="63" customWidth="1"/>
    <col min="14" max="14" width="8.125" style="63" customWidth="1"/>
    <col min="15" max="15" width="9.25390625" style="63" customWidth="1"/>
    <col min="16" max="37" width="8.125" style="63" customWidth="1"/>
    <col min="38" max="16384" width="9.00390625" style="63" customWidth="1"/>
  </cols>
  <sheetData>
    <row r="1" spans="1:8" ht="29.25">
      <c r="A1" s="462" t="str">
        <f>+'GDN data output sheet'!C4</f>
        <v>Wales &amp; West</v>
      </c>
      <c r="C1" s="65"/>
      <c r="G1" s="71"/>
      <c r="H1" s="143"/>
    </row>
    <row r="2" ht="14.25"/>
    <row r="3" spans="3:12" ht="14.25">
      <c r="C3" s="63" t="s">
        <v>783</v>
      </c>
      <c r="E3" s="66" t="e">
        <f>EOMONTH(StartDate,E4*12)</f>
        <v>#NAME?</v>
      </c>
      <c r="F3" s="66" t="e">
        <f>EOMONTH(StartDate,F4*12)</f>
        <v>#NAME?</v>
      </c>
      <c r="G3" s="66" t="e">
        <f>EOMONTH(StartDate,G4*12)</f>
        <v>#NAME?</v>
      </c>
      <c r="H3" s="66" t="e">
        <f>EOMONTH(StartDate,H4*12)</f>
        <v>#NAME?</v>
      </c>
      <c r="I3" s="66" t="e">
        <f>EOMONTH(StartDate,I4*12)</f>
        <v>#NAME?</v>
      </c>
      <c r="J3" s="66" t="e">
        <f>EOMONTH(StartDate,J4*12)</f>
        <v>#NAME?</v>
      </c>
      <c r="K3" s="66" t="e">
        <f>EOMONTH(StartDate,K4*12)</f>
        <v>#NAME?</v>
      </c>
      <c r="L3" s="66" t="e">
        <f>EOMONTH(StartDate,L4*12)</f>
        <v>#NAME?</v>
      </c>
    </row>
    <row r="4" spans="1:12" ht="14.25">
      <c r="A4" s="100"/>
      <c r="B4" s="67"/>
      <c r="C4" s="67" t="s">
        <v>82</v>
      </c>
      <c r="D4" s="100"/>
      <c r="E4" s="68">
        <f>Input!E4</f>
        <v>4</v>
      </c>
      <c r="F4" s="68">
        <f>E4+1</f>
        <v>5</v>
      </c>
      <c r="G4" s="68">
        <f aca="true" t="shared" si="0" ref="G4:L4">F4+1</f>
        <v>6</v>
      </c>
      <c r="H4" s="68">
        <f t="shared" si="0"/>
        <v>7</v>
      </c>
      <c r="I4" s="68">
        <f t="shared" si="0"/>
        <v>8</v>
      </c>
      <c r="J4" s="68">
        <f t="shared" si="0"/>
        <v>9</v>
      </c>
      <c r="K4" s="68">
        <f t="shared" si="0"/>
        <v>10</v>
      </c>
      <c r="L4" s="68">
        <f t="shared" si="0"/>
        <v>11</v>
      </c>
    </row>
    <row r="5" spans="5:12" ht="14.25">
      <c r="E5" s="63"/>
      <c r="F5" s="265"/>
      <c r="H5" s="144"/>
      <c r="I5" s="143"/>
      <c r="J5" s="143"/>
      <c r="L5" s="75"/>
    </row>
    <row r="6" spans="2:6" ht="14.25">
      <c r="B6" s="69" t="s">
        <v>34</v>
      </c>
      <c r="E6" s="63"/>
      <c r="F6" s="221"/>
    </row>
    <row r="7" spans="3:12" ht="14.25">
      <c r="C7" s="63" t="s">
        <v>44</v>
      </c>
      <c r="E7" s="133">
        <f>Input!E55</f>
        <v>0.0465</v>
      </c>
      <c r="F7" s="133">
        <f>Input!F55</f>
        <v>0.0465</v>
      </c>
      <c r="G7" s="133">
        <f>Input!G55</f>
        <v>0.0465</v>
      </c>
      <c r="H7" s="133">
        <f>Input!H55</f>
        <v>0.0355</v>
      </c>
      <c r="I7" s="133">
        <f>Input!I55</f>
        <v>0.0355</v>
      </c>
      <c r="J7" s="133">
        <f>Input!J55</f>
        <v>0.0355</v>
      </c>
      <c r="K7" s="133">
        <f>Input!K55</f>
        <v>0.0355</v>
      </c>
      <c r="L7" s="133">
        <f>Input!L55</f>
        <v>0.0355</v>
      </c>
    </row>
    <row r="8" spans="3:12" ht="14.25">
      <c r="C8" s="63" t="s">
        <v>45</v>
      </c>
      <c r="E8" s="133">
        <f>+Input!E62</f>
        <v>0.0625</v>
      </c>
      <c r="F8" s="133">
        <f>+Input!F62</f>
        <v>0.0625</v>
      </c>
      <c r="G8" s="133">
        <f>+Input!G62</f>
        <v>0.0625</v>
      </c>
      <c r="H8" s="133">
        <f>+Input!H62</f>
        <v>0.07</v>
      </c>
      <c r="I8" s="133">
        <f>+Input!I62</f>
        <v>0.07</v>
      </c>
      <c r="J8" s="133">
        <f>+Input!J62</f>
        <v>0.07</v>
      </c>
      <c r="K8" s="133">
        <f>+Input!K62</f>
        <v>0.07</v>
      </c>
      <c r="L8" s="133">
        <f>+Input!L62</f>
        <v>0.07</v>
      </c>
    </row>
    <row r="9" spans="3:12" ht="14.25">
      <c r="C9" s="63" t="s">
        <v>384</v>
      </c>
      <c r="E9" s="75">
        <f>IF(E4&lt;6.5,+Input!E57,Input!$L$11)</f>
        <v>0.625</v>
      </c>
      <c r="F9" s="75">
        <f>IF(F4&lt;6.5,+Input!F57,Input!$L$11)</f>
        <v>0.625</v>
      </c>
      <c r="G9" s="75">
        <f>IF(G4&lt;6.5,+Input!G57,Input!$L$11)</f>
        <v>0.625</v>
      </c>
      <c r="H9" s="75">
        <f>IF(H4&lt;6.5,+Input!H57,Input!$L$11)</f>
        <v>0.625</v>
      </c>
      <c r="I9" s="75">
        <f>IF(I4&lt;6.5,+Input!I57,Input!$L$11)</f>
        <v>0.625</v>
      </c>
      <c r="J9" s="75">
        <f>IF(J4&lt;6.5,+Input!J57,Input!$L$11)</f>
        <v>0.625</v>
      </c>
      <c r="K9" s="75">
        <f>IF(K4&lt;6.5,+Input!K57,Input!$L$11)</f>
        <v>0.625</v>
      </c>
      <c r="L9" s="75">
        <f>IF(L4&lt;6.5,+Input!L57,Input!$L$11)</f>
        <v>0.625</v>
      </c>
    </row>
    <row r="10" spans="3:12" ht="14.25">
      <c r="C10" s="134" t="s">
        <v>46</v>
      </c>
      <c r="E10" s="90">
        <f>E7*E9+E8*(1-E9)</f>
        <v>0.0525</v>
      </c>
      <c r="F10" s="90">
        <f>F7*F9+F8*(1-F9)</f>
        <v>0.0525</v>
      </c>
      <c r="G10" s="90">
        <f aca="true" t="shared" si="1" ref="G10:L10">G7*G9+G8*(1-G9)</f>
        <v>0.0525</v>
      </c>
      <c r="H10" s="90">
        <f t="shared" si="1"/>
        <v>0.0484375</v>
      </c>
      <c r="I10" s="90">
        <f t="shared" si="1"/>
        <v>0.0484375</v>
      </c>
      <c r="J10" s="90">
        <f t="shared" si="1"/>
        <v>0.0484375</v>
      </c>
      <c r="K10" s="90">
        <f t="shared" si="1"/>
        <v>0.0484375</v>
      </c>
      <c r="L10" s="90">
        <f t="shared" si="1"/>
        <v>0.0484375</v>
      </c>
    </row>
    <row r="11" spans="5:12" ht="14.25">
      <c r="E11" s="82"/>
      <c r="F11" s="82"/>
      <c r="G11" s="90"/>
      <c r="H11" s="90"/>
      <c r="I11" s="90"/>
      <c r="J11" s="90"/>
      <c r="K11" s="90"/>
      <c r="L11" s="90"/>
    </row>
    <row r="12" spans="2:12" ht="14.25">
      <c r="B12" s="69" t="s">
        <v>31</v>
      </c>
      <c r="E12" s="82"/>
      <c r="F12" s="82"/>
      <c r="G12" s="90"/>
      <c r="H12" s="90"/>
      <c r="I12" s="90"/>
      <c r="J12" s="90"/>
      <c r="K12" s="90"/>
      <c r="L12" s="90"/>
    </row>
    <row r="13" spans="3:12" ht="14.25">
      <c r="C13" s="63" t="s">
        <v>25</v>
      </c>
      <c r="E13" s="82">
        <f>1/(1+E10)^0.5</f>
        <v>0.9747403576571586</v>
      </c>
      <c r="F13" s="82">
        <f>1/(1+F10)^0.5</f>
        <v>0.9747403576571586</v>
      </c>
      <c r="G13" s="90">
        <f aca="true" t="shared" si="2" ref="G13:L13">1/(1+G10)^0.5</f>
        <v>0.9747403576571586</v>
      </c>
      <c r="H13" s="90">
        <f>1/(1+H10)^0.5</f>
        <v>0.9766270004779681</v>
      </c>
      <c r="I13" s="90">
        <f t="shared" si="2"/>
        <v>0.9766270004779681</v>
      </c>
      <c r="J13" s="90">
        <f t="shared" si="2"/>
        <v>0.9766270004779681</v>
      </c>
      <c r="K13" s="90">
        <f t="shared" si="2"/>
        <v>0.9766270004779681</v>
      </c>
      <c r="L13" s="90">
        <f t="shared" si="2"/>
        <v>0.9766270004779681</v>
      </c>
    </row>
    <row r="14" spans="3:19" ht="14.25">
      <c r="C14" s="63" t="s">
        <v>32</v>
      </c>
      <c r="E14" s="82">
        <f>1/(1+E10)</f>
        <v>0.9501187648456058</v>
      </c>
      <c r="F14" s="82">
        <f>1/(1+F10)</f>
        <v>0.9501187648456058</v>
      </c>
      <c r="G14" s="90">
        <f aca="true" t="shared" si="3" ref="G14:L14">1/(1+G10)</f>
        <v>0.9501187648456058</v>
      </c>
      <c r="H14" s="90">
        <f t="shared" si="3"/>
        <v>0.9538002980625933</v>
      </c>
      <c r="I14" s="90">
        <f t="shared" si="3"/>
        <v>0.9538002980625933</v>
      </c>
      <c r="J14" s="90">
        <f t="shared" si="3"/>
        <v>0.9538002980625933</v>
      </c>
      <c r="K14" s="90">
        <f t="shared" si="3"/>
        <v>0.9538002980625933</v>
      </c>
      <c r="L14" s="90">
        <f t="shared" si="3"/>
        <v>0.9538002980625933</v>
      </c>
      <c r="O14" s="135"/>
      <c r="P14" s="135"/>
      <c r="Q14" s="70"/>
      <c r="R14" s="136"/>
      <c r="S14" s="70"/>
    </row>
    <row r="15" spans="3:19" ht="14.25">
      <c r="C15" s="63" t="s">
        <v>444</v>
      </c>
      <c r="E15" s="177"/>
      <c r="F15" s="177">
        <v>1</v>
      </c>
      <c r="G15" s="177">
        <f aca="true" t="shared" si="4" ref="G15:L15">(F15/(1+G10))</f>
        <v>0.9501187648456058</v>
      </c>
      <c r="H15" s="177">
        <f t="shared" si="4"/>
        <v>0.9062235611046017</v>
      </c>
      <c r="I15" s="177">
        <f t="shared" si="4"/>
        <v>0.8643563026929137</v>
      </c>
      <c r="J15" s="177">
        <f t="shared" si="4"/>
        <v>0.8244232991407822</v>
      </c>
      <c r="K15" s="177">
        <f t="shared" si="4"/>
        <v>0.7863351884502244</v>
      </c>
      <c r="L15" s="177">
        <f t="shared" si="4"/>
        <v>0.7500067371209295</v>
      </c>
      <c r="M15" s="71"/>
      <c r="N15" s="71"/>
      <c r="O15" s="137"/>
      <c r="P15" s="137"/>
      <c r="Q15" s="70"/>
      <c r="R15" s="136"/>
      <c r="S15" s="70"/>
    </row>
    <row r="16" spans="1:19" ht="14.25">
      <c r="A16" s="487"/>
      <c r="C16" s="63" t="s">
        <v>378</v>
      </c>
      <c r="E16" s="177"/>
      <c r="F16" s="177">
        <f aca="true" t="shared" si="5" ref="F16:L16">F15*(1+F10)^0.5</f>
        <v>1.0259142264341596</v>
      </c>
      <c r="G16" s="177">
        <f t="shared" si="5"/>
        <v>0.9747403576571588</v>
      </c>
      <c r="H16" s="177">
        <f t="shared" si="5"/>
        <v>0.9279116394089959</v>
      </c>
      <c r="I16" s="177">
        <f t="shared" si="5"/>
        <v>0.8850423982440498</v>
      </c>
      <c r="J16" s="177">
        <f t="shared" si="5"/>
        <v>0.844153703243207</v>
      </c>
      <c r="K16" s="177">
        <f t="shared" si="5"/>
        <v>0.8051540537640127</v>
      </c>
      <c r="L16" s="177">
        <f t="shared" si="5"/>
        <v>0.7679561764664206</v>
      </c>
      <c r="M16" s="71"/>
      <c r="N16" s="71"/>
      <c r="O16" s="137"/>
      <c r="P16" s="137"/>
      <c r="Q16" s="70"/>
      <c r="R16" s="136"/>
      <c r="S16" s="70"/>
    </row>
    <row r="17" spans="1:19" ht="14.25">
      <c r="A17" s="487"/>
      <c r="C17" s="63" t="s">
        <v>379</v>
      </c>
      <c r="E17" s="177"/>
      <c r="F17" s="177"/>
      <c r="G17" s="177">
        <v>1</v>
      </c>
      <c r="H17" s="177">
        <f>(G17/(1+H10))</f>
        <v>0.9538002980625933</v>
      </c>
      <c r="I17" s="177">
        <f>(H17/(1+I10))</f>
        <v>0.9097350085842917</v>
      </c>
      <c r="J17" s="177">
        <f>(I17/(1+J10))</f>
        <v>0.8677055223456732</v>
      </c>
      <c r="K17" s="177">
        <f>(J17/(1+K10))</f>
        <v>0.8276177858438613</v>
      </c>
      <c r="L17" s="177">
        <f>(K17/(1+L10))</f>
        <v>0.7893820908197783</v>
      </c>
      <c r="M17" s="71"/>
      <c r="N17" s="71"/>
      <c r="O17" s="137"/>
      <c r="P17" s="137"/>
      <c r="Q17" s="70"/>
      <c r="R17" s="136"/>
      <c r="S17" s="70"/>
    </row>
    <row r="18" spans="1:19" ht="14.25">
      <c r="A18" s="487"/>
      <c r="C18" s="63" t="s">
        <v>380</v>
      </c>
      <c r="E18" s="177"/>
      <c r="F18" s="177"/>
      <c r="G18" s="177">
        <f aca="true" t="shared" si="6" ref="G18:L18">G17*(1+G10)^0.5</f>
        <v>1.0259142264341596</v>
      </c>
      <c r="H18" s="177">
        <f t="shared" si="6"/>
        <v>0.9766270004779681</v>
      </c>
      <c r="I18" s="177">
        <f t="shared" si="6"/>
        <v>0.9315071241518624</v>
      </c>
      <c r="J18" s="177">
        <f t="shared" si="6"/>
        <v>0.8884717726634754</v>
      </c>
      <c r="K18" s="177">
        <f t="shared" si="6"/>
        <v>0.8474246415866235</v>
      </c>
      <c r="L18" s="177">
        <f t="shared" si="6"/>
        <v>0.8082738757309076</v>
      </c>
      <c r="M18" s="71"/>
      <c r="N18" s="71"/>
      <c r="O18" s="137"/>
      <c r="P18" s="137"/>
      <c r="Q18" s="70"/>
      <c r="R18" s="136"/>
      <c r="S18" s="70"/>
    </row>
    <row r="19" spans="1:19" ht="14.25">
      <c r="A19" s="488"/>
      <c r="E19" s="63"/>
      <c r="F19" s="63"/>
      <c r="G19" s="262"/>
      <c r="H19" s="262"/>
      <c r="I19" s="71"/>
      <c r="J19" s="71"/>
      <c r="K19" s="71"/>
      <c r="L19" s="71"/>
      <c r="M19" s="71"/>
      <c r="N19" s="139"/>
      <c r="O19" s="137"/>
      <c r="P19" s="137"/>
      <c r="Q19" s="70"/>
      <c r="R19" s="136"/>
      <c r="S19" s="70"/>
    </row>
    <row r="20" spans="2:19" ht="14.25">
      <c r="B20" s="69" t="s">
        <v>25</v>
      </c>
      <c r="E20" s="63"/>
      <c r="F20" s="63"/>
      <c r="G20" s="172"/>
      <c r="H20" s="71"/>
      <c r="I20" s="71"/>
      <c r="J20" s="71"/>
      <c r="K20" s="71"/>
      <c r="L20" s="71"/>
      <c r="M20" s="98"/>
      <c r="N20" s="98"/>
      <c r="O20" s="140"/>
      <c r="P20" s="141"/>
      <c r="Q20" s="142"/>
      <c r="R20" s="140"/>
      <c r="S20" s="70"/>
    </row>
    <row r="21" spans="3:19" ht="14.25">
      <c r="C21" s="63" t="s">
        <v>66</v>
      </c>
      <c r="E21" s="143"/>
      <c r="F21" s="143"/>
      <c r="G21" s="214">
        <f>-Input!G75</f>
        <v>94.51264372219961</v>
      </c>
      <c r="H21" s="214">
        <f>-Input!H75</f>
        <v>90.0033226432581</v>
      </c>
      <c r="I21" s="214">
        <f>-Input!I75</f>
        <v>90.0934948758302</v>
      </c>
      <c r="J21" s="214">
        <f>-Input!J75</f>
        <v>87.85254646755291</v>
      </c>
      <c r="K21" s="214">
        <f>-Input!K75</f>
        <v>86.21328338239668</v>
      </c>
      <c r="L21" s="214">
        <f>-Input!L75</f>
        <v>84.49360514135667</v>
      </c>
      <c r="M21" s="98"/>
      <c r="N21" s="98"/>
      <c r="O21" s="144"/>
      <c r="P21" s="144"/>
      <c r="Q21" s="142"/>
      <c r="R21" s="140"/>
      <c r="S21" s="70"/>
    </row>
    <row r="22" spans="3:19" ht="14.25">
      <c r="C22" s="63" t="s">
        <v>405</v>
      </c>
      <c r="D22" s="145">
        <f>Input!G67</f>
        <v>0.5</v>
      </c>
      <c r="E22" s="143"/>
      <c r="F22" s="143"/>
      <c r="G22" s="214">
        <f>-Input!G80</f>
        <v>26.9704465247568</v>
      </c>
      <c r="H22" s="214">
        <f>-Input!H80</f>
        <v>33.105207414922084</v>
      </c>
      <c r="I22" s="214">
        <f>-Input!I80</f>
        <v>38.36514819531459</v>
      </c>
      <c r="J22" s="214">
        <f>-Input!J80</f>
        <v>36.27833119972033</v>
      </c>
      <c r="K22" s="214">
        <f>-Input!K80</f>
        <v>36.345170062761454</v>
      </c>
      <c r="L22" s="214">
        <f>-Input!L80</f>
        <v>35.58395843109835</v>
      </c>
      <c r="M22" s="98"/>
      <c r="N22" s="98"/>
      <c r="O22" s="144"/>
      <c r="P22" s="144"/>
      <c r="Q22" s="142"/>
      <c r="R22" s="140"/>
      <c r="S22" s="70"/>
    </row>
    <row r="23" spans="3:19" ht="14.25">
      <c r="C23" s="63" t="s">
        <v>67</v>
      </c>
      <c r="E23" s="143"/>
      <c r="F23" s="143"/>
      <c r="G23" s="214">
        <f>-Input!G82</f>
        <v>22.265170731707315</v>
      </c>
      <c r="H23" s="214">
        <f>-Input!H82</f>
        <v>22.265170731707315</v>
      </c>
      <c r="I23" s="214">
        <f>-Input!I82</f>
        <v>22.265170731707315</v>
      </c>
      <c r="J23" s="214">
        <f>-Input!J82</f>
        <v>22.265170731707315</v>
      </c>
      <c r="K23" s="214">
        <f>-Input!K82</f>
        <v>22.265170731707315</v>
      </c>
      <c r="L23" s="214">
        <f>-Input!L82</f>
        <v>22.265170731707315</v>
      </c>
      <c r="M23" s="98"/>
      <c r="N23" s="98"/>
      <c r="O23" s="144"/>
      <c r="P23" s="144"/>
      <c r="Q23" s="142"/>
      <c r="R23" s="140"/>
      <c r="S23" s="70"/>
    </row>
    <row r="24" spans="3:19" ht="14.25">
      <c r="C24" s="63" t="s">
        <v>457</v>
      </c>
      <c r="E24" s="143"/>
      <c r="F24" s="143"/>
      <c r="G24" s="214">
        <f>+RealRAV!G32</f>
        <v>66.54123667462397</v>
      </c>
      <c r="H24" s="214">
        <f>+RealRAV!H32</f>
        <v>89.54117913280203</v>
      </c>
      <c r="I24" s="214">
        <f>+RealRAV!I32</f>
        <v>94.22300255697502</v>
      </c>
      <c r="J24" s="214">
        <f>+RealRAV!J32</f>
        <v>81.92702836798483</v>
      </c>
      <c r="K24" s="214">
        <f>+RealRAV!K32</f>
        <v>82.66922258335862</v>
      </c>
      <c r="L24" s="214">
        <f>+RealRAV!L32</f>
        <v>79.15521204817183</v>
      </c>
      <c r="M24" s="144"/>
      <c r="N24" s="98"/>
      <c r="O24" s="144"/>
      <c r="P24" s="144"/>
      <c r="Q24" s="142"/>
      <c r="R24" s="140"/>
      <c r="S24" s="70"/>
    </row>
    <row r="25" spans="3:19" ht="14.25">
      <c r="C25" s="63" t="s">
        <v>459</v>
      </c>
      <c r="E25" s="143"/>
      <c r="F25" s="143"/>
      <c r="G25" s="214">
        <f>IF(G4=6,Input!G282,RealRAV!G140)</f>
        <v>-6.764022471406214</v>
      </c>
      <c r="H25" s="143">
        <f>IF(H4=6,Input!H282,RealRAV!H140)</f>
        <v>-5.143303538656436</v>
      </c>
      <c r="I25" s="143">
        <f>IF(I4=6,Input!I282,RealRAV!I140)</f>
        <v>-3.8779201381875907</v>
      </c>
      <c r="J25" s="143">
        <f>IF(J4=6,Input!J282,RealRAV!J140)</f>
        <v>-2.792033316470558</v>
      </c>
      <c r="K25" s="143">
        <f>IF(K4=6,Input!K282,RealRAV!K140)</f>
        <v>-1.1136623149696412</v>
      </c>
      <c r="L25" s="143">
        <f>IF(L4=6,Input!L282,RealRAV!L140)</f>
        <v>0</v>
      </c>
      <c r="M25" s="140"/>
      <c r="N25" s="98"/>
      <c r="O25" s="144"/>
      <c r="P25" s="144"/>
      <c r="Q25" s="142"/>
      <c r="R25" s="140"/>
      <c r="S25" s="70"/>
    </row>
    <row r="26" spans="3:19" ht="14.25">
      <c r="C26" s="63" t="s">
        <v>619</v>
      </c>
      <c r="E26" s="143"/>
      <c r="F26" s="143"/>
      <c r="G26" s="214">
        <f>IF(G4&lt;6.5,0,IF(G4&gt;11.5,0,'IQI calculation'!G34))</f>
        <v>0</v>
      </c>
      <c r="H26" s="143">
        <f>IF(H4&lt;6.5,0,IF(H4&gt;11.5,0,'IQI calculation'!H34))</f>
        <v>0.15768351415261403</v>
      </c>
      <c r="I26" s="143">
        <f>IF(I4&lt;6.5,0,IF(I4&gt;11.5,0,'IQI calculation'!I34))</f>
        <v>0.1677912030648082</v>
      </c>
      <c r="J26" s="143">
        <f>IF(J4&lt;6.5,0,IF(J4&gt;11.5,0,'IQI calculation'!J34))</f>
        <v>0.15748145402996397</v>
      </c>
      <c r="K26" s="143">
        <f>IF(K4&lt;6.5,0,IF(K4&gt;11.5,0,'IQI calculation'!K34))</f>
        <v>0.16077926994344327</v>
      </c>
      <c r="L26" s="143">
        <f>IF(L4&lt;6.5,0,IF(L4&gt;11.5,0,'IQI calculation'!L34))</f>
        <v>0.15973864812870298</v>
      </c>
      <c r="M26" s="140"/>
      <c r="N26" s="98"/>
      <c r="O26" s="144"/>
      <c r="P26" s="144"/>
      <c r="Q26" s="142"/>
      <c r="R26" s="140"/>
      <c r="S26" s="70"/>
    </row>
    <row r="27" spans="5:19" ht="14.25">
      <c r="E27" s="146"/>
      <c r="F27" s="146"/>
      <c r="G27" s="146">
        <f aca="true" t="shared" si="7" ref="G27:L27">+SUM(G21:G26)</f>
        <v>203.5254751818815</v>
      </c>
      <c r="H27" s="146">
        <f t="shared" si="7"/>
        <v>229.9292598981857</v>
      </c>
      <c r="I27" s="146">
        <f t="shared" si="7"/>
        <v>241.23668742470434</v>
      </c>
      <c r="J27" s="146">
        <f t="shared" si="7"/>
        <v>225.6885249045248</v>
      </c>
      <c r="K27" s="146">
        <f t="shared" si="7"/>
        <v>226.53996371519787</v>
      </c>
      <c r="L27" s="146">
        <f t="shared" si="7"/>
        <v>221.65768500046286</v>
      </c>
      <c r="M27" s="140"/>
      <c r="N27" s="98"/>
      <c r="O27" s="144"/>
      <c r="P27" s="144"/>
      <c r="Q27" s="142"/>
      <c r="R27" s="140"/>
      <c r="S27" s="70"/>
    </row>
    <row r="28" spans="3:19" ht="14.25">
      <c r="C28" s="63" t="s">
        <v>26</v>
      </c>
      <c r="E28" s="147"/>
      <c r="F28" s="147"/>
      <c r="G28" s="147">
        <f>IF(G4=6,Input!G283,Tax!G35)</f>
        <v>0</v>
      </c>
      <c r="H28" s="147">
        <f>IF(H4=6,Input!H283,Tax!H35)</f>
        <v>0</v>
      </c>
      <c r="I28" s="147">
        <f>IF(I4=6,Input!I283,Tax!I35)</f>
        <v>0</v>
      </c>
      <c r="J28" s="147">
        <f>IF(J4=6,Input!J283,Tax!J35)</f>
        <v>0</v>
      </c>
      <c r="K28" s="147">
        <f>IF(K4=6,Input!K283,Tax!K35)</f>
        <v>0</v>
      </c>
      <c r="L28" s="147">
        <f>IF(L4=6,Input!L283,Tax!L35)</f>
        <v>0</v>
      </c>
      <c r="M28" s="98"/>
      <c r="N28" s="98"/>
      <c r="O28" s="148"/>
      <c r="P28" s="148"/>
      <c r="Q28" s="142"/>
      <c r="R28" s="140"/>
      <c r="S28" s="70"/>
    </row>
    <row r="29" spans="5:19" ht="14.25">
      <c r="E29" s="146"/>
      <c r="F29" s="146"/>
      <c r="G29" s="146">
        <f aca="true" t="shared" si="8" ref="G29:L29">SUM(G27:G28)</f>
        <v>203.5254751818815</v>
      </c>
      <c r="H29" s="146">
        <f t="shared" si="8"/>
        <v>229.9292598981857</v>
      </c>
      <c r="I29" s="146">
        <f t="shared" si="8"/>
        <v>241.23668742470434</v>
      </c>
      <c r="J29" s="146">
        <f t="shared" si="8"/>
        <v>225.6885249045248</v>
      </c>
      <c r="K29" s="146">
        <f t="shared" si="8"/>
        <v>226.53996371519787</v>
      </c>
      <c r="L29" s="146">
        <f t="shared" si="8"/>
        <v>221.65768500046286</v>
      </c>
      <c r="M29" s="98"/>
      <c r="N29" s="98"/>
      <c r="O29" s="144"/>
      <c r="P29" s="144"/>
      <c r="Q29" s="142"/>
      <c r="R29" s="142"/>
      <c r="S29" s="70"/>
    </row>
    <row r="30" spans="5:18" ht="14.25">
      <c r="E30" s="143"/>
      <c r="F30" s="143"/>
      <c r="G30" s="143"/>
      <c r="H30" s="215"/>
      <c r="I30" s="215"/>
      <c r="J30" s="143"/>
      <c r="K30" s="143"/>
      <c r="L30" s="143"/>
      <c r="M30" s="98"/>
      <c r="N30" s="98"/>
      <c r="O30" s="144"/>
      <c r="P30" s="144"/>
      <c r="Q30" s="98"/>
      <c r="R30" s="98"/>
    </row>
    <row r="31" spans="2:18" ht="14.25">
      <c r="B31" s="69" t="s">
        <v>27</v>
      </c>
      <c r="E31" s="63"/>
      <c r="F31" s="63"/>
      <c r="G31" s="408"/>
      <c r="H31" s="143"/>
      <c r="I31" s="143"/>
      <c r="J31" s="143"/>
      <c r="K31" s="143"/>
      <c r="L31" s="143"/>
      <c r="M31" s="98"/>
      <c r="N31" s="144"/>
      <c r="O31" s="144"/>
      <c r="P31" s="144"/>
      <c r="Q31" s="98"/>
      <c r="R31" s="98"/>
    </row>
    <row r="32" spans="3:18" ht="14.25">
      <c r="C32" s="63" t="s">
        <v>28</v>
      </c>
      <c r="E32" s="143"/>
      <c r="F32" s="143"/>
      <c r="G32" s="214"/>
      <c r="H32" s="143">
        <f>+RealRAV!H30</f>
        <v>1234.9547114419083</v>
      </c>
      <c r="I32" s="143">
        <f>+RealRAV!I30</f>
        <v>1282.298110184699</v>
      </c>
      <c r="J32" s="143">
        <f>+RealRAV!J30</f>
        <v>1332.989525602214</v>
      </c>
      <c r="K32" s="143">
        <f>+RealRAV!K30</f>
        <v>1369.9471195607525</v>
      </c>
      <c r="L32" s="143">
        <f>+RealRAV!L30</f>
        <v>1406.4823043355455</v>
      </c>
      <c r="M32" s="98"/>
      <c r="N32" s="98"/>
      <c r="O32" s="149"/>
      <c r="P32" s="144"/>
      <c r="Q32" s="98"/>
      <c r="R32" s="98"/>
    </row>
    <row r="33" spans="3:18" ht="14.25">
      <c r="C33" s="63" t="s">
        <v>32</v>
      </c>
      <c r="E33" s="143"/>
      <c r="F33" s="143"/>
      <c r="G33" s="214"/>
      <c r="H33" s="143">
        <f>+RealRAV!H34</f>
        <v>1282.298110184699</v>
      </c>
      <c r="I33" s="143">
        <f>+RealRAV!I34</f>
        <v>1332.989525602214</v>
      </c>
      <c r="J33" s="143">
        <f>+RealRAV!J34</f>
        <v>1369.9471195607525</v>
      </c>
      <c r="K33" s="143">
        <f>+RealRAV!K34</f>
        <v>1406.4823043355452</v>
      </c>
      <c r="L33" s="143">
        <f>+RealRAV!L34</f>
        <v>1438.3223819712457</v>
      </c>
      <c r="M33" s="98"/>
      <c r="N33" s="98"/>
      <c r="O33" s="144"/>
      <c r="P33" s="144"/>
      <c r="Q33" s="98"/>
      <c r="R33" s="98"/>
    </row>
    <row r="34" spans="3:18" ht="14.25">
      <c r="C34" s="63" t="s">
        <v>29</v>
      </c>
      <c r="E34" s="143"/>
      <c r="F34" s="143"/>
      <c r="G34" s="214"/>
      <c r="H34" s="143">
        <f>+H33*H14</f>
        <v>1223.056319699266</v>
      </c>
      <c r="I34" s="143">
        <f>+I33*I14</f>
        <v>1271.4058068337065</v>
      </c>
      <c r="J34" s="143">
        <f>+J33*J14</f>
        <v>1306.6559709670369</v>
      </c>
      <c r="K34" s="143">
        <f>+K33*K14</f>
        <v>1341.503241095006</v>
      </c>
      <c r="L34" s="143">
        <f>+L33*L14</f>
        <v>1371.8723166342731</v>
      </c>
      <c r="M34" s="98"/>
      <c r="N34" s="98"/>
      <c r="O34" s="144"/>
      <c r="P34" s="144"/>
      <c r="Q34" s="98"/>
      <c r="R34" s="98"/>
    </row>
    <row r="35" spans="3:18" ht="14.25">
      <c r="C35" s="63" t="s">
        <v>454</v>
      </c>
      <c r="E35" s="146"/>
      <c r="F35" s="146"/>
      <c r="G35" s="399"/>
      <c r="H35" s="146">
        <f>H32-H34</f>
        <v>11.898391742642389</v>
      </c>
      <c r="I35" s="146">
        <f>I32-I34</f>
        <v>10.892303350992506</v>
      </c>
      <c r="J35" s="146">
        <f>J32-J34</f>
        <v>26.33355463517705</v>
      </c>
      <c r="K35" s="146">
        <f>K32-K34</f>
        <v>28.443878465746593</v>
      </c>
      <c r="L35" s="146">
        <f>L32-L34</f>
        <v>34.6099877012723</v>
      </c>
      <c r="M35" s="98"/>
      <c r="N35" s="98"/>
      <c r="O35" s="144"/>
      <c r="P35" s="144"/>
      <c r="Q35" s="98"/>
      <c r="R35" s="98"/>
    </row>
    <row r="36" spans="3:18" ht="14.25">
      <c r="C36" s="63" t="s">
        <v>140</v>
      </c>
      <c r="E36" s="150"/>
      <c r="F36" s="150"/>
      <c r="G36" s="144">
        <f>IF(G4=6,Input!G284,G35/G13)</f>
        <v>37.30887818171393</v>
      </c>
      <c r="H36" s="150">
        <f>IF(H4=6,Input!H284,H35/H13)</f>
        <v>12.183148465913018</v>
      </c>
      <c r="I36" s="150">
        <f>IF(I4=6,Input!I284,I35/I13)</f>
        <v>11.152981993802891</v>
      </c>
      <c r="J36" s="150">
        <f>IF(J4=6,Input!J284,J35/J13)</f>
        <v>26.963779029546824</v>
      </c>
      <c r="K36" s="150">
        <f>IF(K4=6,Input!K284,K35/K13)</f>
        <v>29.124607912566372</v>
      </c>
      <c r="L36" s="150">
        <f>IF(L4=6,Input!L284,L35/L13)</f>
        <v>35.43828676079397</v>
      </c>
      <c r="M36" s="144"/>
      <c r="N36" s="98"/>
      <c r="O36" s="144"/>
      <c r="P36" s="144"/>
      <c r="Q36" s="142"/>
      <c r="R36" s="98"/>
    </row>
    <row r="37" spans="5:251" ht="14.25">
      <c r="E37" s="143"/>
      <c r="F37" s="143"/>
      <c r="G37" s="143"/>
      <c r="H37" s="214"/>
      <c r="I37" s="143"/>
      <c r="J37" s="143"/>
      <c r="K37" s="143"/>
      <c r="L37" s="143"/>
      <c r="M37" s="144"/>
      <c r="N37" s="144"/>
      <c r="O37" s="142"/>
      <c r="P37" s="142"/>
      <c r="Q37" s="142"/>
      <c r="R37" s="142"/>
      <c r="S37" s="151"/>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143"/>
      <c r="FS37" s="143"/>
      <c r="FT37" s="143"/>
      <c r="FU37" s="143"/>
      <c r="FV37" s="143"/>
      <c r="FW37" s="143"/>
      <c r="FX37" s="143"/>
      <c r="FY37" s="143"/>
      <c r="FZ37" s="143"/>
      <c r="GA37" s="143"/>
      <c r="GB37" s="143"/>
      <c r="GC37" s="143"/>
      <c r="GD37" s="143"/>
      <c r="GE37" s="143"/>
      <c r="GF37" s="143"/>
      <c r="GG37" s="143"/>
      <c r="GH37" s="143"/>
      <c r="GI37" s="143"/>
      <c r="GJ37" s="143"/>
      <c r="GK37" s="143"/>
      <c r="GL37" s="143"/>
      <c r="GM37" s="143"/>
      <c r="GN37" s="143"/>
      <c r="GO37" s="143"/>
      <c r="GP37" s="143"/>
      <c r="GQ37" s="143"/>
      <c r="GR37" s="143"/>
      <c r="GS37" s="143"/>
      <c r="GT37" s="143"/>
      <c r="GU37" s="143"/>
      <c r="GV37" s="143"/>
      <c r="GW37" s="143"/>
      <c r="GX37" s="143"/>
      <c r="GY37" s="143"/>
      <c r="GZ37" s="143"/>
      <c r="HA37" s="143"/>
      <c r="HB37" s="143"/>
      <c r="HC37" s="143"/>
      <c r="HD37" s="143"/>
      <c r="HE37" s="143"/>
      <c r="HF37" s="143"/>
      <c r="HG37" s="143"/>
      <c r="HH37" s="143"/>
      <c r="HI37" s="143"/>
      <c r="HJ37" s="143"/>
      <c r="HK37" s="143"/>
      <c r="HL37" s="143"/>
      <c r="HM37" s="143"/>
      <c r="HN37" s="143"/>
      <c r="HO37" s="143"/>
      <c r="HP37" s="143"/>
      <c r="HQ37" s="143"/>
      <c r="HR37" s="143"/>
      <c r="HS37" s="143"/>
      <c r="HT37" s="143"/>
      <c r="HU37" s="143"/>
      <c r="HV37" s="143"/>
      <c r="HW37" s="143"/>
      <c r="HX37" s="143"/>
      <c r="HY37" s="143"/>
      <c r="HZ37" s="143"/>
      <c r="IA37" s="143"/>
      <c r="IB37" s="143"/>
      <c r="IC37" s="143"/>
      <c r="ID37" s="143"/>
      <c r="IE37" s="143"/>
      <c r="IF37" s="143"/>
      <c r="IG37" s="143"/>
      <c r="IH37" s="143"/>
      <c r="II37" s="143"/>
      <c r="IJ37" s="143"/>
      <c r="IK37" s="143"/>
      <c r="IL37" s="143"/>
      <c r="IM37" s="143"/>
      <c r="IN37" s="143"/>
      <c r="IO37" s="143"/>
      <c r="IP37" s="143"/>
      <c r="IQ37" s="143"/>
    </row>
    <row r="38" spans="3:19" ht="15" thickBot="1">
      <c r="C38" s="69" t="s">
        <v>33</v>
      </c>
      <c r="E38" s="152"/>
      <c r="F38" s="152"/>
      <c r="G38" s="152">
        <f aca="true" t="shared" si="9" ref="G38:L38">+G29+G36</f>
        <v>240.83435336359543</v>
      </c>
      <c r="H38" s="398">
        <f>+H29+H36</f>
        <v>242.1124083640987</v>
      </c>
      <c r="I38" s="152">
        <f t="shared" si="9"/>
        <v>252.38966941850722</v>
      </c>
      <c r="J38" s="152">
        <f t="shared" si="9"/>
        <v>252.65230393407163</v>
      </c>
      <c r="K38" s="152">
        <f t="shared" si="9"/>
        <v>255.66457162776425</v>
      </c>
      <c r="L38" s="152">
        <f t="shared" si="9"/>
        <v>257.0959717612568</v>
      </c>
      <c r="M38" s="144"/>
      <c r="N38" s="142"/>
      <c r="O38" s="142"/>
      <c r="P38" s="144"/>
      <c r="Q38" s="151"/>
      <c r="R38" s="151"/>
      <c r="S38" s="151"/>
    </row>
    <row r="39" spans="5:19" ht="15" thickTop="1">
      <c r="E39" s="143"/>
      <c r="F39" s="143"/>
      <c r="G39" s="143"/>
      <c r="H39" s="71"/>
      <c r="M39" s="98"/>
      <c r="N39" s="70"/>
      <c r="O39" s="70"/>
      <c r="P39" s="70"/>
      <c r="Q39" s="70"/>
      <c r="R39" s="70"/>
      <c r="S39" s="70"/>
    </row>
    <row r="40" spans="3:12" ht="14.25">
      <c r="C40" s="63" t="s">
        <v>434</v>
      </c>
      <c r="E40" s="142"/>
      <c r="F40" s="409"/>
      <c r="G40" s="142">
        <f>+RealRAV!G131</f>
        <v>1.1168663589970573</v>
      </c>
      <c r="H40" s="142">
        <f>+RealRAV!H131</f>
        <v>1.1946504902521924</v>
      </c>
      <c r="I40" s="142">
        <f>+RealRAV!I131</f>
        <v>1.1065410379232148</v>
      </c>
      <c r="J40" s="142">
        <f>+RealRAV!J131</f>
        <v>1.1065410379232148</v>
      </c>
      <c r="K40" s="142">
        <f>+RealRAV!K131</f>
        <v>1.1065410379232148</v>
      </c>
      <c r="L40" s="142">
        <f>+RealRAV!L131</f>
        <v>1.1065410379232148</v>
      </c>
    </row>
    <row r="41" spans="3:12" ht="14.25">
      <c r="C41" s="63" t="s">
        <v>579</v>
      </c>
      <c r="E41" s="142"/>
      <c r="F41" s="409"/>
      <c r="G41" s="142">
        <f>+'Pension Allowances'!G6</f>
        <v>2.081685777194206</v>
      </c>
      <c r="H41" s="142">
        <f>+'Pension Allowances'!H6</f>
        <v>2.0624407942549023</v>
      </c>
      <c r="I41" s="142">
        <f>+'Pension Allowances'!I6</f>
        <v>2.0624407942549023</v>
      </c>
      <c r="J41" s="142">
        <f>+'Pension Allowances'!J6</f>
        <v>2.0624407942549023</v>
      </c>
      <c r="K41" s="142">
        <f>+'Pension Allowances'!K6</f>
        <v>2.0624407942549023</v>
      </c>
      <c r="L41" s="142">
        <f>+'Pension Allowances'!L6</f>
        <v>2.0624407942549023</v>
      </c>
    </row>
    <row r="42" spans="3:12" ht="14.25">
      <c r="C42" s="63" t="s">
        <v>432</v>
      </c>
      <c r="E42" s="151"/>
      <c r="F42" s="151"/>
      <c r="G42" s="151">
        <f>+'Pension Allowances'!G7</f>
        <v>5.182100601493819</v>
      </c>
      <c r="H42" s="142">
        <f>+'Pension Allowances'!H7</f>
        <v>5.055707903896409</v>
      </c>
      <c r="I42" s="142">
        <f>+'Pension Allowances'!I7</f>
        <v>4.932397955020887</v>
      </c>
      <c r="J42" s="142">
        <f>+'Pension Allowances'!J7</f>
        <v>4.812095565874037</v>
      </c>
      <c r="K42" s="142">
        <f>+'Pension Allowances'!K7</f>
        <v>4.694727381340525</v>
      </c>
      <c r="L42" s="142">
        <f>+'Pension Allowances'!L7</f>
        <v>4.580221835454171</v>
      </c>
    </row>
    <row r="43" spans="3:12" ht="14.25">
      <c r="C43" s="63" t="s">
        <v>433</v>
      </c>
      <c r="E43" s="151"/>
      <c r="F43" s="151"/>
      <c r="G43" s="151">
        <f>+'Pension Allowances'!G8</f>
        <v>2.7829543480216525</v>
      </c>
      <c r="H43" s="142">
        <f>+'Pension Allowances'!H8</f>
        <v>2.7150774127040513</v>
      </c>
      <c r="I43" s="142">
        <f>+'Pension Allowances'!I8</f>
        <v>2.6488560123941967</v>
      </c>
      <c r="J43" s="142">
        <f>+'Pension Allowances'!J8</f>
        <v>2.5842497681894603</v>
      </c>
      <c r="K43" s="142">
        <f>+'Pension Allowances'!K8</f>
        <v>2.5212192860384985</v>
      </c>
      <c r="L43" s="142">
        <f>+'Pension Allowances'!L8</f>
        <v>2.4597261327204865</v>
      </c>
    </row>
    <row r="44" spans="3:12" ht="14.25">
      <c r="C44" s="63" t="s">
        <v>229</v>
      </c>
      <c r="E44" s="151"/>
      <c r="F44" s="151"/>
      <c r="G44" s="151"/>
      <c r="H44" s="142">
        <f>Tax!H44</f>
        <v>0</v>
      </c>
      <c r="I44" s="142">
        <f>Tax!I44</f>
        <v>0</v>
      </c>
      <c r="J44" s="142">
        <f>Tax!J44</f>
        <v>0</v>
      </c>
      <c r="K44" s="142">
        <f>Tax!K44</f>
        <v>0</v>
      </c>
      <c r="L44" s="142">
        <f>Tax!L44</f>
        <v>0</v>
      </c>
    </row>
    <row r="45" spans="5:12" ht="14.25">
      <c r="E45" s="151"/>
      <c r="F45" s="151"/>
      <c r="G45" s="151"/>
      <c r="H45" s="142"/>
      <c r="I45" s="142"/>
      <c r="J45" s="142"/>
      <c r="K45" s="142"/>
      <c r="L45" s="142"/>
    </row>
    <row r="46" spans="2:12" ht="14.25">
      <c r="B46" s="69"/>
      <c r="C46" s="63" t="s">
        <v>580</v>
      </c>
      <c r="E46" s="151"/>
      <c r="F46" s="151"/>
      <c r="G46" s="142">
        <f aca="true" t="shared" si="10" ref="G46:L46">+SUM(G40:G44)</f>
        <v>11.163607085706735</v>
      </c>
      <c r="H46" s="142">
        <f t="shared" si="10"/>
        <v>11.027876601107556</v>
      </c>
      <c r="I46" s="142">
        <f t="shared" si="10"/>
        <v>10.7502357995932</v>
      </c>
      <c r="J46" s="142">
        <f t="shared" si="10"/>
        <v>10.565327166241614</v>
      </c>
      <c r="K46" s="142">
        <f t="shared" si="10"/>
        <v>10.384928499557141</v>
      </c>
      <c r="L46" s="142">
        <f t="shared" si="10"/>
        <v>10.208929800352774</v>
      </c>
    </row>
    <row r="47" spans="5:12" ht="14.25">
      <c r="E47" s="70"/>
      <c r="F47" s="70"/>
      <c r="G47" s="70"/>
      <c r="H47" s="71"/>
      <c r="I47" s="71"/>
      <c r="J47" s="71"/>
      <c r="K47" s="71"/>
      <c r="L47" s="71"/>
    </row>
    <row r="48" spans="3:13" ht="14.25">
      <c r="C48" s="63" t="s">
        <v>78</v>
      </c>
      <c r="E48" s="70"/>
      <c r="F48" s="70"/>
      <c r="G48" s="70">
        <f aca="true" t="shared" si="11" ref="G48:L48">+G46+G38</f>
        <v>251.99796044930216</v>
      </c>
      <c r="H48" s="172">
        <f t="shared" si="11"/>
        <v>253.14028496520626</v>
      </c>
      <c r="I48" s="172">
        <f t="shared" si="11"/>
        <v>263.1399052181004</v>
      </c>
      <c r="J48" s="172">
        <f t="shared" si="11"/>
        <v>263.2176311003132</v>
      </c>
      <c r="K48" s="172">
        <f t="shared" si="11"/>
        <v>266.0495001273214</v>
      </c>
      <c r="L48" s="172">
        <f t="shared" si="11"/>
        <v>267.3049015616096</v>
      </c>
      <c r="M48" s="70"/>
    </row>
    <row r="49" spans="5:12" ht="14.25">
      <c r="E49" s="70"/>
      <c r="F49" s="70"/>
      <c r="G49" s="473"/>
      <c r="H49" s="172"/>
      <c r="I49" s="172"/>
      <c r="J49" s="172"/>
      <c r="K49" s="172"/>
      <c r="L49" s="172"/>
    </row>
    <row r="50" spans="3:13" ht="14.25">
      <c r="C50" s="70" t="s">
        <v>602</v>
      </c>
      <c r="E50" s="75"/>
      <c r="F50" s="75"/>
      <c r="G50" s="75"/>
      <c r="H50" s="139">
        <f>H48/G48-1</f>
        <v>0.0045330704814730005</v>
      </c>
      <c r="I50" s="139">
        <f>I48/H48-1</f>
        <v>0.03950228725652494</v>
      </c>
      <c r="J50" s="139">
        <f>J48/I48-1</f>
        <v>0.0002953785445365398</v>
      </c>
      <c r="K50" s="139">
        <f>K48/J48-1</f>
        <v>0.010758660106354956</v>
      </c>
      <c r="L50" s="139">
        <f>L48/K48-1</f>
        <v>0.004718676162471347</v>
      </c>
      <c r="M50" s="75"/>
    </row>
    <row r="51" spans="2:12" s="71" customFormat="1" ht="14.25">
      <c r="B51" s="63"/>
      <c r="C51" s="63"/>
      <c r="E51" s="75"/>
      <c r="F51" s="75"/>
      <c r="G51" s="75"/>
      <c r="H51" s="153"/>
      <c r="I51" s="153"/>
      <c r="J51" s="153"/>
      <c r="K51" s="153"/>
      <c r="L51" s="153"/>
    </row>
    <row r="52" spans="2:12" s="71" customFormat="1" ht="14.25">
      <c r="B52" s="69" t="s">
        <v>597</v>
      </c>
      <c r="C52" s="63"/>
      <c r="E52" s="75"/>
      <c r="F52" s="75"/>
      <c r="G52" s="75"/>
      <c r="H52" s="139"/>
      <c r="I52" s="154"/>
      <c r="J52" s="139"/>
      <c r="K52" s="139"/>
      <c r="L52" s="139"/>
    </row>
    <row r="53" spans="2:13" s="71" customFormat="1" ht="14.25">
      <c r="B53" s="69"/>
      <c r="C53" s="155" t="s">
        <v>771</v>
      </c>
      <c r="D53" s="95"/>
      <c r="E53" s="156"/>
      <c r="F53" s="156"/>
      <c r="G53" s="156"/>
      <c r="H53" s="157"/>
      <c r="I53" s="157"/>
      <c r="J53" s="157"/>
      <c r="K53" s="157"/>
      <c r="L53" s="157"/>
      <c r="M53" s="158"/>
    </row>
    <row r="54" spans="2:13" s="71" customFormat="1" ht="14.25">
      <c r="B54" s="69"/>
      <c r="C54" s="159"/>
      <c r="D54" s="98"/>
      <c r="E54" s="160"/>
      <c r="F54" s="160"/>
      <c r="G54" s="160"/>
      <c r="H54" s="140"/>
      <c r="I54" s="161"/>
      <c r="J54" s="140"/>
      <c r="K54" s="140"/>
      <c r="L54" s="140"/>
      <c r="M54" s="162"/>
    </row>
    <row r="55" spans="2:13" s="71" customFormat="1" ht="14.25">
      <c r="B55" s="69"/>
      <c r="C55" s="159" t="s">
        <v>626</v>
      </c>
      <c r="D55" s="98"/>
      <c r="E55" s="151">
        <f>E48</f>
        <v>0</v>
      </c>
      <c r="F55" s="151">
        <f>F48</f>
        <v>0</v>
      </c>
      <c r="G55" s="151">
        <f aca="true" t="shared" si="12" ref="G55:L55">G48</f>
        <v>251.99796044930216</v>
      </c>
      <c r="H55" s="163">
        <f t="shared" si="12"/>
        <v>253.14028496520626</v>
      </c>
      <c r="I55" s="163">
        <f t="shared" si="12"/>
        <v>263.1399052181004</v>
      </c>
      <c r="J55" s="163">
        <f t="shared" si="12"/>
        <v>263.2176311003132</v>
      </c>
      <c r="K55" s="163">
        <f t="shared" si="12"/>
        <v>266.0495001273214</v>
      </c>
      <c r="L55" s="163">
        <f t="shared" si="12"/>
        <v>267.3049015616096</v>
      </c>
      <c r="M55" s="164">
        <f>SUM(H55:L55)</f>
        <v>1312.8522229725509</v>
      </c>
    </row>
    <row r="56" spans="2:13" s="71" customFormat="1" ht="14.25">
      <c r="B56" s="63"/>
      <c r="C56" s="159" t="s">
        <v>627</v>
      </c>
      <c r="D56" s="98"/>
      <c r="E56" s="151">
        <f>E55</f>
        <v>0</v>
      </c>
      <c r="F56" s="151">
        <f>F55</f>
        <v>0</v>
      </c>
      <c r="G56" s="151">
        <f>G55</f>
        <v>251.99796044930216</v>
      </c>
      <c r="H56" s="163">
        <f aca="true" t="shared" si="13" ref="H56:M56">CHOOSE($B$73,H68,H69,H70,H71,H72)</f>
        <v>253.14028496520626</v>
      </c>
      <c r="I56" s="163">
        <f t="shared" si="13"/>
        <v>263.1399052181004</v>
      </c>
      <c r="J56" s="163">
        <f t="shared" si="13"/>
        <v>263.2176311003132</v>
      </c>
      <c r="K56" s="163">
        <f t="shared" si="13"/>
        <v>266.0495001273214</v>
      </c>
      <c r="L56" s="163">
        <f t="shared" si="13"/>
        <v>267.3049015616096</v>
      </c>
      <c r="M56" s="165">
        <f t="shared" si="13"/>
        <v>1312.8522229725509</v>
      </c>
    </row>
    <row r="57" spans="2:13" s="71" customFormat="1" ht="14.25">
      <c r="B57" s="69"/>
      <c r="C57" s="159" t="s">
        <v>631</v>
      </c>
      <c r="D57" s="98"/>
      <c r="E57" s="151"/>
      <c r="F57" s="151"/>
      <c r="G57" s="151"/>
      <c r="H57" s="140">
        <f aca="true" t="shared" si="14" ref="H57:L58">(H55/G55)-1</f>
        <v>0.0045330704814730005</v>
      </c>
      <c r="I57" s="140">
        <f t="shared" si="14"/>
        <v>0.03950228725652494</v>
      </c>
      <c r="J57" s="140">
        <f t="shared" si="14"/>
        <v>0.0002953785445365398</v>
      </c>
      <c r="K57" s="140">
        <f t="shared" si="14"/>
        <v>0.010758660106354956</v>
      </c>
      <c r="L57" s="140">
        <f t="shared" si="14"/>
        <v>0.004718676162471347</v>
      </c>
      <c r="M57" s="166">
        <f>SUM(H57:L57)</f>
        <v>0.05980807255136078</v>
      </c>
    </row>
    <row r="58" spans="2:13" s="71" customFormat="1" ht="14.25">
      <c r="B58" s="63"/>
      <c r="C58" s="167" t="s">
        <v>628</v>
      </c>
      <c r="D58" s="100"/>
      <c r="E58" s="168"/>
      <c r="F58" s="168"/>
      <c r="G58" s="168"/>
      <c r="H58" s="169">
        <f t="shared" si="14"/>
        <v>0.0045330704814730005</v>
      </c>
      <c r="I58" s="169">
        <f t="shared" si="14"/>
        <v>0.03950228725652494</v>
      </c>
      <c r="J58" s="169">
        <f t="shared" si="14"/>
        <v>0.0002953785445365398</v>
      </c>
      <c r="K58" s="169">
        <f t="shared" si="14"/>
        <v>0.010758660106354956</v>
      </c>
      <c r="L58" s="169">
        <f t="shared" si="14"/>
        <v>0.004718676162471347</v>
      </c>
      <c r="M58" s="170">
        <f>SUM(H58:L58)</f>
        <v>0.05980807255136078</v>
      </c>
    </row>
    <row r="59" spans="2:13" s="71" customFormat="1" ht="14.25">
      <c r="B59" s="63"/>
      <c r="C59" s="63"/>
      <c r="E59" s="75"/>
      <c r="F59" s="75"/>
      <c r="G59" s="75"/>
      <c r="H59" s="171"/>
      <c r="I59" s="171"/>
      <c r="J59" s="171"/>
      <c r="K59" s="171"/>
      <c r="L59" s="171"/>
      <c r="M59" s="172"/>
    </row>
    <row r="60" spans="2:13" s="71" customFormat="1" ht="14.25">
      <c r="B60" s="63"/>
      <c r="C60" s="71" t="s">
        <v>612</v>
      </c>
      <c r="E60" s="75"/>
      <c r="F60" s="75"/>
      <c r="G60" s="75"/>
      <c r="H60" s="177">
        <f>H18</f>
        <v>0.9766270004779681</v>
      </c>
      <c r="I60" s="177">
        <f>I18</f>
        <v>0.9315071241518624</v>
      </c>
      <c r="J60" s="177">
        <f>J18</f>
        <v>0.8884717726634754</v>
      </c>
      <c r="K60" s="177">
        <f>K18</f>
        <v>0.8474246415866235</v>
      </c>
      <c r="L60" s="177">
        <f>L18</f>
        <v>0.8082738757309076</v>
      </c>
      <c r="M60" s="145">
        <f>SUM(H60:L60)</f>
        <v>4.452304414610837</v>
      </c>
    </row>
    <row r="61" spans="2:14" s="71" customFormat="1" ht="14.25">
      <c r="B61" s="63"/>
      <c r="C61" s="63" t="s">
        <v>629</v>
      </c>
      <c r="E61" s="75"/>
      <c r="F61" s="75"/>
      <c r="G61" s="75"/>
      <c r="H61" s="171">
        <f>H55*H60</f>
        <v>247.2236372057075</v>
      </c>
      <c r="I61" s="171">
        <f>I55*I60</f>
        <v>245.11669635930636</v>
      </c>
      <c r="J61" s="171">
        <f>J55*J60</f>
        <v>233.86143529997602</v>
      </c>
      <c r="K61" s="171">
        <f>K55*K60</f>
        <v>225.45690228969565</v>
      </c>
      <c r="L61" s="171">
        <f>L55*L60</f>
        <v>216.0555687870709</v>
      </c>
      <c r="M61" s="172">
        <f>SUM(H61:L61)</f>
        <v>1167.7142399417564</v>
      </c>
      <c r="N61" s="174"/>
    </row>
    <row r="62" spans="2:13" s="71" customFormat="1" ht="14.25">
      <c r="B62" s="63"/>
      <c r="C62" s="63" t="s">
        <v>630</v>
      </c>
      <c r="E62" s="75"/>
      <c r="F62" s="75"/>
      <c r="G62" s="75"/>
      <c r="H62" s="171">
        <f>(CHOOSE($B$73,H68,H69,H70,H71,H72))*H60</f>
        <v>247.2236372057075</v>
      </c>
      <c r="I62" s="171">
        <f>(CHOOSE($B$73,I68,I69,I70,I71,I72))*I60</f>
        <v>245.11669635930636</v>
      </c>
      <c r="J62" s="171">
        <f>(CHOOSE($B$73,J68,J69,J70,J71,J72))*J60</f>
        <v>233.86143529997602</v>
      </c>
      <c r="K62" s="171">
        <f>(CHOOSE($B$73,K68,K69,K70,K71,K72))*K60</f>
        <v>225.45690228969565</v>
      </c>
      <c r="L62" s="171">
        <f>(CHOOSE($B$73,L68,L69,L70,L71,L72))*L60</f>
        <v>216.0555687870709</v>
      </c>
      <c r="M62" s="172">
        <f>SUM(H62:L62)</f>
        <v>1167.7142399417564</v>
      </c>
    </row>
    <row r="63" spans="2:13" s="71" customFormat="1" ht="14.25">
      <c r="B63" s="63"/>
      <c r="C63" s="71" t="s">
        <v>632</v>
      </c>
      <c r="D63" s="175">
        <f>CHOOSE($B$73,D68,D69,D70,D71,D72)</f>
        <v>0</v>
      </c>
      <c r="E63" s="75"/>
      <c r="F63" s="75"/>
      <c r="G63" s="75"/>
      <c r="H63" s="173">
        <v>1</v>
      </c>
      <c r="I63" s="173">
        <f>H63*(1+$D$63)</f>
        <v>1</v>
      </c>
      <c r="J63" s="173">
        <f>I63*(1+$D$63)</f>
        <v>1</v>
      </c>
      <c r="K63" s="173">
        <f>J63*(1+$D$63)</f>
        <v>1</v>
      </c>
      <c r="L63" s="173">
        <f>K63*(1+$D$63)</f>
        <v>1</v>
      </c>
      <c r="M63" s="172"/>
    </row>
    <row r="64" spans="2:13" s="71" customFormat="1" ht="14.25">
      <c r="B64" s="63"/>
      <c r="C64" s="71" t="s">
        <v>633</v>
      </c>
      <c r="E64" s="75"/>
      <c r="F64" s="75"/>
      <c r="G64" s="75"/>
      <c r="H64" s="173">
        <f>H60*H63</f>
        <v>0.9766270004779681</v>
      </c>
      <c r="I64" s="173">
        <f>I60*I63</f>
        <v>0.9315071241518624</v>
      </c>
      <c r="J64" s="173">
        <f>J60*J63</f>
        <v>0.8884717726634754</v>
      </c>
      <c r="K64" s="173">
        <f>K60*K63</f>
        <v>0.8474246415866235</v>
      </c>
      <c r="L64" s="173">
        <f>L60*L63</f>
        <v>0.8082738757309076</v>
      </c>
      <c r="M64" s="172">
        <f>SUM(H64:L64)</f>
        <v>4.452304414610837</v>
      </c>
    </row>
    <row r="65" spans="2:13" s="71" customFormat="1" ht="14.25">
      <c r="B65" s="63"/>
      <c r="E65" s="75"/>
      <c r="F65" s="75"/>
      <c r="G65" s="75"/>
      <c r="H65" s="173"/>
      <c r="I65" s="176"/>
      <c r="J65" s="173"/>
      <c r="K65" s="173"/>
      <c r="L65" s="173"/>
      <c r="M65" s="172"/>
    </row>
    <row r="66" spans="2:13" s="71" customFormat="1" ht="14.25">
      <c r="B66" s="63"/>
      <c r="C66" s="63"/>
      <c r="E66" s="75"/>
      <c r="F66" s="75"/>
      <c r="G66" s="75"/>
      <c r="H66" s="171"/>
      <c r="I66" s="171"/>
      <c r="J66" s="171"/>
      <c r="K66" s="171"/>
      <c r="L66" s="171"/>
      <c r="M66" s="172"/>
    </row>
    <row r="67" spans="2:14" s="71" customFormat="1" ht="14.25">
      <c r="B67" s="63"/>
      <c r="C67" s="63" t="s">
        <v>771</v>
      </c>
      <c r="E67" s="75"/>
      <c r="F67" s="75"/>
      <c r="G67" s="75"/>
      <c r="H67" s="171"/>
      <c r="I67" s="171"/>
      <c r="J67" s="171"/>
      <c r="K67" s="171"/>
      <c r="L67" s="171"/>
      <c r="M67" s="172"/>
      <c r="N67" s="71" t="s">
        <v>735</v>
      </c>
    </row>
    <row r="68" spans="2:14" s="71" customFormat="1" ht="14.25">
      <c r="B68" s="63">
        <v>1</v>
      </c>
      <c r="C68" s="63" t="s">
        <v>365</v>
      </c>
      <c r="D68" s="177">
        <v>0</v>
      </c>
      <c r="E68" s="75"/>
      <c r="F68" s="75"/>
      <c r="G68" s="75"/>
      <c r="H68" s="171">
        <f>H55</f>
        <v>253.14028496520626</v>
      </c>
      <c r="I68" s="171">
        <f>I55</f>
        <v>263.1399052181004</v>
      </c>
      <c r="J68" s="171">
        <f>J55</f>
        <v>263.2176311003132</v>
      </c>
      <c r="K68" s="171">
        <f>K55</f>
        <v>266.0495001273214</v>
      </c>
      <c r="L68" s="171">
        <f>L55</f>
        <v>267.3049015616096</v>
      </c>
      <c r="M68" s="172">
        <f>SUM(H68:L68)</f>
        <v>1312.8522229725509</v>
      </c>
      <c r="N68" s="178">
        <f>+SUMPRODUCT($H$60:$L$60,H68:L68)</f>
        <v>1167.7142399417564</v>
      </c>
    </row>
    <row r="69" spans="2:14" s="71" customFormat="1" ht="14.25">
      <c r="B69" s="63">
        <v>2</v>
      </c>
      <c r="C69" s="63" t="s">
        <v>609</v>
      </c>
      <c r="D69" s="177">
        <v>0</v>
      </c>
      <c r="E69" s="75"/>
      <c r="F69" s="75"/>
      <c r="G69" s="75"/>
      <c r="H69" s="171">
        <f>M61/M60</f>
        <v>262.27187793128985</v>
      </c>
      <c r="I69" s="171">
        <f>H69*(1-$D69)</f>
        <v>262.27187793128985</v>
      </c>
      <c r="J69" s="171">
        <f>I69*(1-$D69)</f>
        <v>262.27187793128985</v>
      </c>
      <c r="K69" s="171">
        <f>J69*(1-$D69)</f>
        <v>262.27187793128985</v>
      </c>
      <c r="L69" s="171">
        <f>K69*(1-$D69)</f>
        <v>262.27187793128985</v>
      </c>
      <c r="M69" s="172">
        <f>SUM(H69:L69)</f>
        <v>1311.3593896564494</v>
      </c>
      <c r="N69" s="178">
        <f>+SUMPRODUCT($H$60:$L$60,H69:L69)</f>
        <v>1167.7142399417564</v>
      </c>
    </row>
    <row r="70" spans="2:14" s="71" customFormat="1" ht="14.25">
      <c r="B70" s="63">
        <v>3</v>
      </c>
      <c r="C70" s="63" t="s">
        <v>635</v>
      </c>
      <c r="D70" s="177">
        <v>-0.03</v>
      </c>
      <c r="E70" s="75"/>
      <c r="F70" s="75"/>
      <c r="G70" s="75"/>
      <c r="H70" s="171">
        <f>M61/M64</f>
        <v>262.27187793128985</v>
      </c>
      <c r="I70" s="171">
        <f>H70*(1+$D70)</f>
        <v>254.40372159335115</v>
      </c>
      <c r="J70" s="171">
        <f>I70*(1+$D70)</f>
        <v>246.7716099455506</v>
      </c>
      <c r="K70" s="171">
        <f>J70*(1+$D70)</f>
        <v>239.3684616471841</v>
      </c>
      <c r="L70" s="171">
        <f>K70*(1+$D70)</f>
        <v>232.18740779776857</v>
      </c>
      <c r="M70" s="172">
        <f>SUM(H70:L70)</f>
        <v>1235.0030789151442</v>
      </c>
      <c r="N70" s="178">
        <f>+SUMPRODUCT($H$60:$L$60,H70:L70)</f>
        <v>1102.8880350751776</v>
      </c>
    </row>
    <row r="71" spans="2:14" s="71" customFormat="1" ht="14.25">
      <c r="B71" s="71">
        <v>4</v>
      </c>
      <c r="C71" s="71" t="s">
        <v>634</v>
      </c>
      <c r="D71" s="153">
        <f>+(GEOMEAN(H68:L68)/H68)^0.5-1</f>
        <v>0.01836297265891451</v>
      </c>
      <c r="E71" s="172"/>
      <c r="F71" s="172"/>
      <c r="G71" s="172"/>
      <c r="H71" s="171">
        <f>$M$61/$M$64</f>
        <v>262.27187793128985</v>
      </c>
      <c r="I71" s="171">
        <f aca="true" t="shared" si="15" ref="I71:L72">H71*(1+$D71)</f>
        <v>267.0879692549443</v>
      </c>
      <c r="J71" s="171">
        <f t="shared" si="15"/>
        <v>271.9924983318979</v>
      </c>
      <c r="K71" s="171">
        <f t="shared" si="15"/>
        <v>276.9870891421964</v>
      </c>
      <c r="L71" s="171">
        <f t="shared" si="15"/>
        <v>282.07339548698684</v>
      </c>
      <c r="M71" s="172">
        <f>SUM(H71:L71)</f>
        <v>1360.4128301473154</v>
      </c>
      <c r="N71" s="178">
        <f>+SUMPRODUCT($H$60:$L$60,H71:L71)</f>
        <v>1209.3120420853943</v>
      </c>
    </row>
    <row r="72" spans="2:14" s="71" customFormat="1" ht="14.25">
      <c r="B72" s="71">
        <v>5</v>
      </c>
      <c r="C72" s="63" t="s">
        <v>203</v>
      </c>
      <c r="D72" s="177">
        <f>+ROUND(D71*4,2)/4</f>
        <v>0.0175</v>
      </c>
      <c r="E72" s="75"/>
      <c r="F72" s="75"/>
      <c r="G72" s="75"/>
      <c r="H72" s="171">
        <f>M61/M64</f>
        <v>262.27187793128985</v>
      </c>
      <c r="I72" s="171">
        <f t="shared" si="15"/>
        <v>266.86163579508747</v>
      </c>
      <c r="J72" s="171">
        <f t="shared" si="15"/>
        <v>271.53171442150153</v>
      </c>
      <c r="K72" s="171">
        <f t="shared" si="15"/>
        <v>276.2835194238778</v>
      </c>
      <c r="L72" s="171">
        <f t="shared" si="15"/>
        <v>281.1184810137957</v>
      </c>
      <c r="M72" s="172">
        <f>SUM(H72:L72)</f>
        <v>1358.0672285855521</v>
      </c>
      <c r="N72" s="178">
        <f>+SUMPRODUCT($H$60:$L$60,H72:L72)</f>
        <v>1207.3237626188038</v>
      </c>
    </row>
    <row r="73" spans="2:12" s="71" customFormat="1" ht="14.25">
      <c r="B73" s="63">
        <v>1</v>
      </c>
      <c r="C73" s="63"/>
      <c r="G73" s="75"/>
      <c r="I73" s="139"/>
      <c r="J73" s="139"/>
      <c r="K73" s="139"/>
      <c r="L73" s="139"/>
    </row>
    <row r="74" spans="2:12" s="71" customFormat="1" ht="14.25">
      <c r="B74" s="63"/>
      <c r="C74" s="63"/>
      <c r="G74" s="75"/>
      <c r="H74" s="139"/>
      <c r="I74" s="139"/>
      <c r="J74" s="139"/>
      <c r="K74" s="139"/>
      <c r="L74" s="139"/>
    </row>
    <row r="75" spans="6:7" ht="14.25">
      <c r="F75" s="413"/>
      <c r="G75" s="143"/>
    </row>
    <row r="76" spans="4:6" ht="14.25">
      <c r="D76" s="63"/>
      <c r="E76" s="63"/>
      <c r="F76" s="221"/>
    </row>
    <row r="77" spans="3:12" ht="14.25">
      <c r="C77" s="98"/>
      <c r="D77" s="142"/>
      <c r="E77" s="142"/>
      <c r="F77" s="142"/>
      <c r="G77" s="98"/>
      <c r="H77" s="142"/>
      <c r="I77" s="142"/>
      <c r="J77" s="142"/>
      <c r="K77" s="142"/>
      <c r="L77" s="142"/>
    </row>
    <row r="78" spans="3:12" ht="14.25">
      <c r="C78" s="98"/>
      <c r="D78" s="142"/>
      <c r="E78" s="142"/>
      <c r="F78" s="142"/>
      <c r="G78" s="98"/>
      <c r="H78" s="142"/>
      <c r="I78" s="142"/>
      <c r="J78" s="142"/>
      <c r="K78" s="142"/>
      <c r="L78" s="142"/>
    </row>
    <row r="79" spans="3:12" ht="14.25">
      <c r="C79" s="98"/>
      <c r="D79" s="142"/>
      <c r="E79" s="142"/>
      <c r="F79" s="142"/>
      <c r="G79" s="98"/>
      <c r="H79" s="142"/>
      <c r="I79" s="142"/>
      <c r="J79" s="142"/>
      <c r="K79" s="142"/>
      <c r="L79" s="142"/>
    </row>
    <row r="80" spans="3:12" ht="14.25">
      <c r="C80" s="98"/>
      <c r="D80" s="142"/>
      <c r="E80" s="142"/>
      <c r="F80" s="142"/>
      <c r="G80" s="98"/>
      <c r="H80" s="142"/>
      <c r="I80" s="142"/>
      <c r="J80" s="142"/>
      <c r="K80" s="142"/>
      <c r="L80" s="142"/>
    </row>
    <row r="81" spans="3:12" ht="14.25">
      <c r="C81" s="98"/>
      <c r="D81" s="142"/>
      <c r="E81" s="142"/>
      <c r="F81" s="142"/>
      <c r="G81" s="98"/>
      <c r="H81" s="142"/>
      <c r="I81" s="142"/>
      <c r="J81" s="142"/>
      <c r="K81" s="142"/>
      <c r="L81" s="142"/>
    </row>
    <row r="82" spans="3:12" ht="14.25">
      <c r="C82" s="98"/>
      <c r="D82" s="142"/>
      <c r="E82" s="142"/>
      <c r="F82" s="142"/>
      <c r="G82" s="98"/>
      <c r="H82" s="142"/>
      <c r="I82" s="142"/>
      <c r="J82" s="142"/>
      <c r="K82" s="142"/>
      <c r="L82" s="142"/>
    </row>
    <row r="83" spans="3:12" ht="14.25">
      <c r="C83" s="98"/>
      <c r="D83" s="142"/>
      <c r="E83" s="142"/>
      <c r="F83" s="142"/>
      <c r="G83" s="98"/>
      <c r="H83" s="142"/>
      <c r="I83" s="142"/>
      <c r="J83" s="142"/>
      <c r="K83" s="142"/>
      <c r="L83" s="142"/>
    </row>
    <row r="84" spans="3:12" ht="14.25">
      <c r="C84" s="98"/>
      <c r="D84" s="142"/>
      <c r="E84" s="142"/>
      <c r="F84" s="142"/>
      <c r="G84" s="98"/>
      <c r="H84" s="142"/>
      <c r="I84" s="142"/>
      <c r="J84" s="142"/>
      <c r="K84" s="142"/>
      <c r="L84" s="142"/>
    </row>
    <row r="85" spans="3:12" ht="14.25">
      <c r="C85" s="267"/>
      <c r="D85" s="98"/>
      <c r="E85" s="98"/>
      <c r="F85" s="98"/>
      <c r="G85" s="98"/>
      <c r="H85" s="98"/>
      <c r="I85" s="98"/>
      <c r="J85" s="98"/>
      <c r="K85" s="98"/>
      <c r="L85" s="98"/>
    </row>
    <row r="222" ht="14.25">
      <c r="B222" s="63">
        <v>1</v>
      </c>
    </row>
  </sheetData>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56" r:id="rId3"/>
  <headerFooter alignWithMargins="0">
    <oddHeader>&amp;L&amp;F&amp;R&amp;A</oddHeader>
    <oddFooter>&amp;L&amp;D&amp;T&amp;CPage &amp;P of &amp;N</oddFooter>
  </headerFooter>
  <ignoredErrors>
    <ignoredError sqref="M56" formula="1"/>
  </ignoredErrors>
  <legacyDrawing r:id="rId2"/>
</worksheet>
</file>

<file path=xl/worksheets/sheet7.xml><?xml version="1.0" encoding="utf-8"?>
<worksheet xmlns="http://schemas.openxmlformats.org/spreadsheetml/2006/main" xmlns:r="http://schemas.openxmlformats.org/officeDocument/2006/relationships">
  <sheetPr codeName="Sheet18"/>
  <dimension ref="A1:N17"/>
  <sheetViews>
    <sheetView zoomScale="55" zoomScaleNormal="55" workbookViewId="0" topLeftCell="A1">
      <selection activeCell="A1" sqref="A1"/>
    </sheetView>
  </sheetViews>
  <sheetFormatPr defaultColWidth="9.00390625" defaultRowHeight="15"/>
  <cols>
    <col min="1" max="2" width="9.00390625" style="63" customWidth="1"/>
    <col min="3" max="3" width="41.375" style="63" customWidth="1"/>
    <col min="4" max="4" width="3.25390625" style="63" customWidth="1"/>
    <col min="5" max="16384" width="9.00390625" style="63" customWidth="1"/>
  </cols>
  <sheetData>
    <row r="1" ht="29.25">
      <c r="A1" s="64" t="str">
        <f>+'GDN data output sheet'!C4</f>
        <v>Wales &amp; West</v>
      </c>
    </row>
    <row r="2" spans="3:14" ht="14.25">
      <c r="C2" s="63" t="s">
        <v>783</v>
      </c>
      <c r="E2" s="66">
        <v>38807</v>
      </c>
      <c r="F2" s="66">
        <v>39172</v>
      </c>
      <c r="G2" s="66">
        <v>39538</v>
      </c>
      <c r="H2" s="66">
        <v>39903</v>
      </c>
      <c r="I2" s="66">
        <v>40268</v>
      </c>
      <c r="J2" s="66">
        <v>40633</v>
      </c>
      <c r="K2" s="66">
        <v>40999</v>
      </c>
      <c r="L2" s="66">
        <v>41364</v>
      </c>
      <c r="N2" s="103"/>
    </row>
    <row r="3" spans="1:14" ht="14.25">
      <c r="A3" s="67"/>
      <c r="B3" s="67"/>
      <c r="C3" s="67" t="s">
        <v>82</v>
      </c>
      <c r="D3" s="67"/>
      <c r="E3" s="68">
        <v>4</v>
      </c>
      <c r="F3" s="68">
        <v>5</v>
      </c>
      <c r="G3" s="68">
        <v>6</v>
      </c>
      <c r="H3" s="68">
        <v>7</v>
      </c>
      <c r="I3" s="68">
        <v>8</v>
      </c>
      <c r="J3" s="68">
        <v>9</v>
      </c>
      <c r="K3" s="68">
        <v>10</v>
      </c>
      <c r="L3" s="68">
        <v>11</v>
      </c>
      <c r="N3" s="103"/>
    </row>
    <row r="5" spans="2:7" ht="14.25">
      <c r="B5" s="63" t="s">
        <v>358</v>
      </c>
      <c r="G5" s="151"/>
    </row>
    <row r="6" spans="2:14" ht="14.25">
      <c r="B6" s="69"/>
      <c r="C6" s="63" t="s">
        <v>579</v>
      </c>
      <c r="E6" s="70"/>
      <c r="F6" s="179"/>
      <c r="G6" s="151">
        <f>G13</f>
        <v>2.081685777194206</v>
      </c>
      <c r="H6" s="151">
        <f>H16</f>
        <v>2.0624407942549023</v>
      </c>
      <c r="I6" s="151">
        <f>I16</f>
        <v>2.0624407942549023</v>
      </c>
      <c r="J6" s="151">
        <f>J16</f>
        <v>2.0624407942549023</v>
      </c>
      <c r="K6" s="151">
        <f>K16</f>
        <v>2.0624407942549023</v>
      </c>
      <c r="L6" s="151">
        <f>L16</f>
        <v>2.0624407942549023</v>
      </c>
      <c r="N6" s="103"/>
    </row>
    <row r="7" spans="2:14" ht="14.25">
      <c r="B7" s="69"/>
      <c r="C7" s="63" t="s">
        <v>432</v>
      </c>
      <c r="E7" s="70"/>
      <c r="F7" s="258"/>
      <c r="G7" s="142">
        <f>IF($A$1="Northern",Input!$G$137,Input!$G$137/('RPI factors'!G30/'RPI factors'!$G$30))</f>
        <v>5.182100601493819</v>
      </c>
      <c r="H7" s="142">
        <f>IF($A$1="Northern",Input!$G$137,Input!$G$137/('RPI factors'!H30/'RPI factors'!$G$30))</f>
        <v>5.055707903896409</v>
      </c>
      <c r="I7" s="142">
        <f>IF($A$1="Northern",Input!$G$137,Input!$G$137/('RPI factors'!I30/'RPI factors'!$G$30))</f>
        <v>4.932397955020887</v>
      </c>
      <c r="J7" s="142">
        <f>IF($A$1="Northern",Input!$G$137,Input!$G$137/('RPI factors'!J30/'RPI factors'!$G$30))</f>
        <v>4.812095565874037</v>
      </c>
      <c r="K7" s="142">
        <f>IF($A$1="Northern",Input!$G$137,Input!$G$137/('RPI factors'!K30/'RPI factors'!$G$30))</f>
        <v>4.694727381340525</v>
      </c>
      <c r="L7" s="142">
        <f>IF($A$1="Northern",Input!$G$137,Input!$G$137/('RPI factors'!L30/'RPI factors'!$G$30))</f>
        <v>4.580221835454171</v>
      </c>
      <c r="M7" s="69" t="s">
        <v>450</v>
      </c>
      <c r="N7" s="103"/>
    </row>
    <row r="8" spans="2:14" ht="14.25">
      <c r="B8" s="69"/>
      <c r="C8" s="63" t="s">
        <v>433</v>
      </c>
      <c r="E8" s="70"/>
      <c r="F8" s="179"/>
      <c r="G8" s="151">
        <f>Input!$G$138/('RPI factors'!G30/'RPI factors'!$G$30)</f>
        <v>2.7829543480216525</v>
      </c>
      <c r="H8" s="151">
        <f>Input!$G$138/('RPI factors'!H30/'RPI factors'!$G$30)</f>
        <v>2.7150774127040513</v>
      </c>
      <c r="I8" s="151">
        <f>Input!$G$138/('RPI factors'!I30/'RPI factors'!$G$30)</f>
        <v>2.6488560123941967</v>
      </c>
      <c r="J8" s="151">
        <f>Input!$G$138/('RPI factors'!J30/'RPI factors'!$G$30)</f>
        <v>2.5842497681894603</v>
      </c>
      <c r="K8" s="151">
        <f>Input!$G$138/('RPI factors'!K30/'RPI factors'!$G$30)</f>
        <v>2.5212192860384985</v>
      </c>
      <c r="L8" s="151">
        <f>Input!$G$138/('RPI factors'!L30/'RPI factors'!$G$30)</f>
        <v>2.4597261327204865</v>
      </c>
      <c r="M8" s="69" t="s">
        <v>451</v>
      </c>
      <c r="N8" s="103"/>
    </row>
    <row r="9" spans="5:13" ht="14.25">
      <c r="E9" s="70"/>
      <c r="F9" s="70"/>
      <c r="M9" s="69"/>
    </row>
    <row r="10" spans="3:14" ht="14.25">
      <c r="C10" s="69" t="s">
        <v>575</v>
      </c>
      <c r="E10" s="70"/>
      <c r="F10" s="70"/>
      <c r="N10" s="103"/>
    </row>
    <row r="11" spans="3:14" ht="14.25">
      <c r="C11" s="63" t="s">
        <v>576</v>
      </c>
      <c r="E11" s="160"/>
      <c r="F11" s="160"/>
      <c r="G11" s="151">
        <f>Input!G238</f>
        <v>10.753677251233984</v>
      </c>
      <c r="N11" s="103"/>
    </row>
    <row r="12" spans="3:14" ht="14.25">
      <c r="C12" s="63" t="s">
        <v>186</v>
      </c>
      <c r="E12" s="89"/>
      <c r="F12" s="89"/>
      <c r="N12" s="103"/>
    </row>
    <row r="13" spans="3:14" ht="14.25">
      <c r="C13" s="71" t="s">
        <v>227</v>
      </c>
      <c r="D13" s="71"/>
      <c r="E13" s="76"/>
      <c r="F13" s="76"/>
      <c r="G13" s="172">
        <f>Input!G229</f>
        <v>2.081685777194206</v>
      </c>
      <c r="H13" s="71"/>
      <c r="I13" s="71"/>
      <c r="J13" s="71"/>
      <c r="K13" s="71"/>
      <c r="L13" s="71"/>
      <c r="N13" s="103"/>
    </row>
    <row r="14" spans="3:14" ht="14.25">
      <c r="C14" s="71" t="s">
        <v>228</v>
      </c>
      <c r="D14" s="71"/>
      <c r="E14" s="76"/>
      <c r="F14" s="76"/>
      <c r="G14" s="172">
        <f>G13*'Allowed revenue'!G16</f>
        <v>2.029103138992101</v>
      </c>
      <c r="H14" s="71"/>
      <c r="I14" s="71"/>
      <c r="J14" s="71"/>
      <c r="K14" s="71"/>
      <c r="L14" s="71"/>
      <c r="N14" s="103"/>
    </row>
    <row r="15" spans="3:14" ht="14.25">
      <c r="C15" s="71" t="s">
        <v>234</v>
      </c>
      <c r="D15" s="71"/>
      <c r="E15" s="76"/>
      <c r="F15" s="76"/>
      <c r="G15" s="172">
        <f>G11-G14</f>
        <v>8.724574112241884</v>
      </c>
      <c r="H15" s="71"/>
      <c r="I15" s="71"/>
      <c r="J15" s="71"/>
      <c r="K15" s="71"/>
      <c r="L15" s="71"/>
      <c r="N15" s="103"/>
    </row>
    <row r="16" spans="3:14" ht="14.25">
      <c r="C16" s="71" t="s">
        <v>230</v>
      </c>
      <c r="D16" s="71"/>
      <c r="E16" s="71"/>
      <c r="F16" s="71"/>
      <c r="G16" s="172"/>
      <c r="H16" s="172">
        <f>+$G$15/SUM('Allowed revenue'!$H$16:$L$16)</f>
        <v>2.0624407942549023</v>
      </c>
      <c r="I16" s="172">
        <f>+$G$15/SUM('Allowed revenue'!$H$16:$L$16)</f>
        <v>2.0624407942549023</v>
      </c>
      <c r="J16" s="172">
        <f>+$G$15/SUM('Allowed revenue'!$H$16:$L$16)</f>
        <v>2.0624407942549023</v>
      </c>
      <c r="K16" s="172">
        <f>+$G$15/SUM('Allowed revenue'!$H$16:$L$16)</f>
        <v>2.0624407942549023</v>
      </c>
      <c r="L16" s="172">
        <f>+$G$15/SUM('Allowed revenue'!$H$16:$L$16)</f>
        <v>2.0624407942549023</v>
      </c>
      <c r="N16" s="103"/>
    </row>
    <row r="17" ht="14.25">
      <c r="N17" s="103"/>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5">
    <pageSetUpPr fitToPage="1"/>
  </sheetPr>
  <dimension ref="A1:HI54"/>
  <sheetViews>
    <sheetView zoomScale="55" zoomScaleNormal="55" workbookViewId="0" topLeftCell="A1">
      <pane xSplit="3" ySplit="4" topLeftCell="D5" activePane="bottomRight" state="frozen"/>
      <selection pane="topLeft" activeCell="F32" sqref="F32"/>
      <selection pane="topRight" activeCell="F32" sqref="F32"/>
      <selection pane="bottomLeft" activeCell="F32" sqref="F32"/>
      <selection pane="bottomRight" activeCell="A1" sqref="A1"/>
    </sheetView>
  </sheetViews>
  <sheetFormatPr defaultColWidth="9.00390625" defaultRowHeight="15"/>
  <cols>
    <col min="1" max="2" width="2.625" style="71" customWidth="1"/>
    <col min="3" max="3" width="96.00390625" style="71" customWidth="1"/>
    <col min="4" max="4" width="5.375" style="71" bestFit="1" customWidth="1"/>
    <col min="5" max="6" width="9.125" style="71" hidden="1" customWidth="1"/>
    <col min="7" max="12" width="10.125" style="71" customWidth="1"/>
    <col min="13" max="16384" width="9.00390625" style="71" customWidth="1"/>
  </cols>
  <sheetData>
    <row r="1" spans="1:3" ht="29.25">
      <c r="A1" s="462" t="str">
        <f>+'GDN data output sheet'!C4</f>
        <v>Wales &amp; West</v>
      </c>
      <c r="C1" s="488"/>
    </row>
    <row r="2" ht="14.25">
      <c r="C2" s="216" t="s">
        <v>611</v>
      </c>
    </row>
    <row r="3" spans="3:12" ht="14.25">
      <c r="C3" s="71" t="s">
        <v>783</v>
      </c>
      <c r="E3" s="525" t="e">
        <f>EOMONTH(StartDate,E4*12)</f>
        <v>#NAME?</v>
      </c>
      <c r="F3" s="525" t="e">
        <f>EOMONTH(StartDate,F4*12)</f>
        <v>#NAME?</v>
      </c>
      <c r="G3" s="525" t="e">
        <f>EOMONTH(StartDate,G4*12)</f>
        <v>#NAME?</v>
      </c>
      <c r="H3" s="525" t="e">
        <f>EOMONTH(StartDate,H4*12)</f>
        <v>#NAME?</v>
      </c>
      <c r="I3" s="525" t="e">
        <f>EOMONTH(StartDate,I4*12)</f>
        <v>#NAME?</v>
      </c>
      <c r="J3" s="525" t="e">
        <f>EOMONTH(StartDate,J4*12)</f>
        <v>#NAME?</v>
      </c>
      <c r="K3" s="525" t="e">
        <f>EOMONTH(StartDate,K4*12)</f>
        <v>#NAME?</v>
      </c>
      <c r="L3" s="525" t="e">
        <f>EOMONTH(StartDate,L4*12)</f>
        <v>#NAME?</v>
      </c>
    </row>
    <row r="4" spans="1:12" ht="14.25">
      <c r="A4" s="100"/>
      <c r="B4" s="100"/>
      <c r="C4" s="100" t="s">
        <v>82</v>
      </c>
      <c r="D4" s="100"/>
      <c r="E4" s="194">
        <f>Input!E4</f>
        <v>4</v>
      </c>
      <c r="F4" s="194">
        <f>E4+1</f>
        <v>5</v>
      </c>
      <c r="G4" s="194">
        <f aca="true" t="shared" si="0" ref="G4:L4">F4+1</f>
        <v>6</v>
      </c>
      <c r="H4" s="194">
        <f t="shared" si="0"/>
        <v>7</v>
      </c>
      <c r="I4" s="194">
        <f t="shared" si="0"/>
        <v>8</v>
      </c>
      <c r="J4" s="194">
        <f t="shared" si="0"/>
        <v>9</v>
      </c>
      <c r="K4" s="194">
        <f t="shared" si="0"/>
        <v>10</v>
      </c>
      <c r="L4" s="194">
        <f t="shared" si="0"/>
        <v>11</v>
      </c>
    </row>
    <row r="6" spans="3:12" ht="14.25">
      <c r="C6" s="71" t="s">
        <v>46</v>
      </c>
      <c r="E6" s="90">
        <f>'Allowed revenue'!E10</f>
        <v>0.0525</v>
      </c>
      <c r="F6" s="90">
        <f>'Allowed revenue'!F10</f>
        <v>0.0525</v>
      </c>
      <c r="G6" s="90">
        <f>'Allowed revenue'!G10</f>
        <v>0.0525</v>
      </c>
      <c r="H6" s="90">
        <f>'Allowed revenue'!H10</f>
        <v>0.0484375</v>
      </c>
      <c r="I6" s="90">
        <f>'Allowed revenue'!I10</f>
        <v>0.0484375</v>
      </c>
      <c r="J6" s="90">
        <f>'Allowed revenue'!J10</f>
        <v>0.0484375</v>
      </c>
      <c r="K6" s="90">
        <f>'Allowed revenue'!K10</f>
        <v>0.0484375</v>
      </c>
      <c r="L6" s="90">
        <f>'Allowed revenue'!L10</f>
        <v>0.0484375</v>
      </c>
    </row>
    <row r="7" spans="3:12" ht="14.25">
      <c r="C7" s="71" t="s">
        <v>697</v>
      </c>
      <c r="E7" s="90"/>
      <c r="F7" s="90"/>
      <c r="G7" s="90">
        <f>'Allowed revenue'!G7*'Allowed revenue'!G9+('Allowed revenue'!G8/(1-Input!G59)*(1-'Allowed revenue'!G9))</f>
        <v>0.06254464285714285</v>
      </c>
      <c r="H7" s="90">
        <f>'Allowed revenue'!H7*'Allowed revenue'!H9+('Allowed revenue'!H8/(1-Input!H59)*(1-'Allowed revenue'!H9))</f>
        <v>0.05864583333333334</v>
      </c>
      <c r="I7" s="90">
        <f>'Allowed revenue'!I7*'Allowed revenue'!I9+('Allowed revenue'!I8/(1-Input!I59)*(1-'Allowed revenue'!I9))</f>
        <v>0.05864583333333334</v>
      </c>
      <c r="J7" s="90">
        <f>'Allowed revenue'!J7*'Allowed revenue'!J9+('Allowed revenue'!J8/(1-Input!J59)*(1-'Allowed revenue'!J9))</f>
        <v>0.05864583333333334</v>
      </c>
      <c r="K7" s="90">
        <f>'Allowed revenue'!K7*'Allowed revenue'!K9+('Allowed revenue'!K8/(1-Input!K59)*(1-'Allowed revenue'!K9))</f>
        <v>0.05864583333333334</v>
      </c>
      <c r="L7" s="90">
        <f>'Allowed revenue'!L7*'Allowed revenue'!L9+('Allowed revenue'!L8/(1-Input!L59)*(1-'Allowed revenue'!L9))</f>
        <v>0.05864583333333334</v>
      </c>
    </row>
    <row r="8" ht="14.25">
      <c r="A8" s="488"/>
    </row>
    <row r="9" spans="2:3" ht="14.25">
      <c r="B9" s="216" t="s">
        <v>25</v>
      </c>
      <c r="C9" s="488"/>
    </row>
    <row r="10" spans="3:12" ht="14.25">
      <c r="C10" s="71" t="s">
        <v>66</v>
      </c>
      <c r="D10" s="172"/>
      <c r="E10" s="214"/>
      <c r="F10" s="214"/>
      <c r="G10" s="214">
        <f>-Input!G75</f>
        <v>94.51264372219961</v>
      </c>
      <c r="H10" s="214">
        <f>-Input!H75</f>
        <v>90.0033226432581</v>
      </c>
      <c r="I10" s="214">
        <f>-Input!I75</f>
        <v>90.0934948758302</v>
      </c>
      <c r="J10" s="214">
        <f>-Input!J75</f>
        <v>87.85254646755291</v>
      </c>
      <c r="K10" s="214">
        <f>-Input!K75</f>
        <v>86.21328338239668</v>
      </c>
      <c r="L10" s="214">
        <f>-Input!L75</f>
        <v>84.49360514135667</v>
      </c>
    </row>
    <row r="11" spans="3:12" ht="14.25">
      <c r="C11" s="71" t="s">
        <v>405</v>
      </c>
      <c r="D11" s="172"/>
      <c r="E11" s="214"/>
      <c r="F11" s="214"/>
      <c r="G11" s="214">
        <f>-Input!G80</f>
        <v>26.9704465247568</v>
      </c>
      <c r="H11" s="214">
        <f>-Input!H80</f>
        <v>33.105207414922084</v>
      </c>
      <c r="I11" s="214">
        <f>-Input!I80</f>
        <v>38.36514819531459</v>
      </c>
      <c r="J11" s="214">
        <f>-Input!J80</f>
        <v>36.27833119972033</v>
      </c>
      <c r="K11" s="214">
        <f>-Input!K80</f>
        <v>36.345170062761454</v>
      </c>
      <c r="L11" s="214">
        <f>-Input!L80</f>
        <v>35.58395843109835</v>
      </c>
    </row>
    <row r="12" spans="3:12" ht="14.25">
      <c r="C12" s="71" t="s">
        <v>67</v>
      </c>
      <c r="D12" s="172"/>
      <c r="E12" s="214"/>
      <c r="F12" s="214"/>
      <c r="G12" s="214">
        <f>-Input!G82</f>
        <v>22.265170731707315</v>
      </c>
      <c r="H12" s="214">
        <f>-Input!H82</f>
        <v>22.265170731707315</v>
      </c>
      <c r="I12" s="214">
        <f>-Input!I82</f>
        <v>22.265170731707315</v>
      </c>
      <c r="J12" s="214">
        <f>-Input!J82</f>
        <v>22.265170731707315</v>
      </c>
      <c r="K12" s="214">
        <f>-Input!K82</f>
        <v>22.265170731707315</v>
      </c>
      <c r="L12" s="214">
        <f>-Input!L82</f>
        <v>22.265170731707315</v>
      </c>
    </row>
    <row r="13" spans="3:12" ht="14.25">
      <c r="C13" s="71" t="s">
        <v>68</v>
      </c>
      <c r="D13" s="172"/>
      <c r="E13" s="214"/>
      <c r="F13" s="214"/>
      <c r="G13" s="214">
        <f>-RealRAV!G11</f>
        <v>39.11811968236438</v>
      </c>
      <c r="H13" s="214">
        <f>-RealRAV!H11</f>
        <v>40.328026116824624</v>
      </c>
      <c r="I13" s="214">
        <f>-RealRAV!I11</f>
        <v>42.148174717071214</v>
      </c>
      <c r="J13" s="214">
        <f>-RealRAV!J11</f>
        <v>43.83886379534322</v>
      </c>
      <c r="K13" s="214">
        <f>-RealRAV!K11</f>
        <v>45.571930487869906</v>
      </c>
      <c r="L13" s="214">
        <f>-RealRAV!L11</f>
        <v>47.315134412471494</v>
      </c>
    </row>
    <row r="14" spans="3:12" ht="14.25">
      <c r="C14" s="71" t="s">
        <v>625</v>
      </c>
      <c r="D14" s="172"/>
      <c r="E14" s="214"/>
      <c r="F14" s="214"/>
      <c r="G14" s="214">
        <f>'Allowed revenue'!G26</f>
        <v>0</v>
      </c>
      <c r="H14" s="214">
        <f>'Allowed revenue'!H26</f>
        <v>0.15768351415261403</v>
      </c>
      <c r="I14" s="214">
        <f>'Allowed revenue'!I26</f>
        <v>0.1677912030648082</v>
      </c>
      <c r="J14" s="214">
        <f>'Allowed revenue'!J26</f>
        <v>0.15748145402996397</v>
      </c>
      <c r="K14" s="214">
        <f>'Allowed revenue'!K26</f>
        <v>0.16077926994344327</v>
      </c>
      <c r="L14" s="214">
        <f>'Allowed revenue'!L26</f>
        <v>0.15973864812870298</v>
      </c>
    </row>
    <row r="15" spans="5:12" ht="14.25">
      <c r="E15" s="399"/>
      <c r="F15" s="399"/>
      <c r="G15" s="399">
        <f aca="true" t="shared" si="1" ref="G15:L15">SUM(G10:G14)</f>
        <v>182.8663806610281</v>
      </c>
      <c r="H15" s="399">
        <f t="shared" si="1"/>
        <v>185.85941042086472</v>
      </c>
      <c r="I15" s="399">
        <f t="shared" si="1"/>
        <v>193.03977972298813</v>
      </c>
      <c r="J15" s="399">
        <f t="shared" si="1"/>
        <v>190.39239364835376</v>
      </c>
      <c r="K15" s="399">
        <f t="shared" si="1"/>
        <v>190.5563339346788</v>
      </c>
      <c r="L15" s="399">
        <f t="shared" si="1"/>
        <v>189.8176073647625</v>
      </c>
    </row>
    <row r="16" spans="5:12" ht="14.25">
      <c r="E16" s="144"/>
      <c r="F16" s="144"/>
      <c r="G16" s="144"/>
      <c r="H16" s="144"/>
      <c r="I16" s="144"/>
      <c r="J16" s="144"/>
      <c r="K16" s="144"/>
      <c r="L16" s="144"/>
    </row>
    <row r="17" spans="3:217" ht="14.25">
      <c r="C17" s="71" t="s">
        <v>506</v>
      </c>
      <c r="E17" s="214"/>
      <c r="F17" s="214"/>
      <c r="G17" s="214">
        <f>G6*RealRAV!G16</f>
        <v>59.522554719580704</v>
      </c>
      <c r="H17" s="214">
        <f>H6*RealRAV!H16</f>
        <v>57.61893029945056</v>
      </c>
      <c r="I17" s="214">
        <f>I6*RealRAV!I16</f>
        <v>60.78808275554123</v>
      </c>
      <c r="J17" s="214">
        <f>J6*RealRAV!J16</f>
        <v>63.767357045297665</v>
      </c>
      <c r="K17" s="214">
        <f>K6*RealRAV!K16</f>
        <v>66.6834951063912</v>
      </c>
      <c r="L17" s="214">
        <f>L6*RealRAV!L16</f>
        <v>68.8976134964926</v>
      </c>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214"/>
      <c r="FP17" s="214"/>
      <c r="FQ17" s="214"/>
      <c r="FR17" s="214"/>
      <c r="FS17" s="214"/>
      <c r="FT17" s="2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14"/>
      <c r="GU17" s="214"/>
      <c r="GV17" s="214"/>
      <c r="GW17" s="214"/>
      <c r="GX17" s="214"/>
      <c r="GY17" s="214"/>
      <c r="GZ17" s="214"/>
      <c r="HA17" s="214"/>
      <c r="HB17" s="214"/>
      <c r="HC17" s="214"/>
      <c r="HD17" s="214"/>
      <c r="HE17" s="214"/>
      <c r="HF17" s="214"/>
      <c r="HG17" s="214"/>
      <c r="HH17" s="214"/>
      <c r="HI17" s="214"/>
    </row>
    <row r="18" spans="5:12" ht="14.25">
      <c r="E18" s="399"/>
      <c r="F18" s="399"/>
      <c r="G18" s="399">
        <f aca="true" t="shared" si="2" ref="G18:L18">SUM(G15:G17)</f>
        <v>242.3889353806088</v>
      </c>
      <c r="H18" s="399">
        <f t="shared" si="2"/>
        <v>243.4783407203153</v>
      </c>
      <c r="I18" s="399">
        <f t="shared" si="2"/>
        <v>253.82786247852937</v>
      </c>
      <c r="J18" s="399">
        <f t="shared" si="2"/>
        <v>254.15975069365143</v>
      </c>
      <c r="K18" s="399">
        <f t="shared" si="2"/>
        <v>257.23982904107004</v>
      </c>
      <c r="L18" s="399">
        <f t="shared" si="2"/>
        <v>258.7152208612551</v>
      </c>
    </row>
    <row r="19" spans="3:12" ht="14.25">
      <c r="C19" s="71" t="s">
        <v>507</v>
      </c>
      <c r="E19" s="214"/>
      <c r="F19" s="214"/>
      <c r="G19" s="214">
        <f>RealRAV!G16*(G7-G6)</f>
        <v>11.388243887674879</v>
      </c>
      <c r="H19" s="214">
        <f>RealRAV!H16*(H7-H6)</f>
        <v>12.143344450206794</v>
      </c>
      <c r="I19" s="214">
        <f>RealRAV!I16*(I7-I6)</f>
        <v>12.811251849554933</v>
      </c>
      <c r="J19" s="214">
        <f>RealRAV!J16*(J7-J6)</f>
        <v>13.439141914922958</v>
      </c>
      <c r="K19" s="214">
        <f>RealRAV!K16*(K7-K6)</f>
        <v>14.053725850379232</v>
      </c>
      <c r="L19" s="214">
        <f>RealRAV!L16*(L7-L6)</f>
        <v>14.520357253024256</v>
      </c>
    </row>
    <row r="20" spans="3:12" ht="15" thickBot="1">
      <c r="C20" s="71" t="s">
        <v>524</v>
      </c>
      <c r="D20" s="216"/>
      <c r="E20" s="526"/>
      <c r="F20" s="526"/>
      <c r="G20" s="527">
        <f aca="true" t="shared" si="3" ref="G20:L20">SUM(G18:G19)</f>
        <v>253.7771792682837</v>
      </c>
      <c r="H20" s="527">
        <f t="shared" si="3"/>
        <v>255.62168517052208</v>
      </c>
      <c r="I20" s="527">
        <f t="shared" si="3"/>
        <v>266.6391143280843</v>
      </c>
      <c r="J20" s="527">
        <f t="shared" si="3"/>
        <v>267.5988926085744</v>
      </c>
      <c r="K20" s="527">
        <f t="shared" si="3"/>
        <v>271.2935548914493</v>
      </c>
      <c r="L20" s="527">
        <f t="shared" si="3"/>
        <v>273.23557811427935</v>
      </c>
    </row>
    <row r="21" spans="2:3" ht="14.25">
      <c r="B21" s="216"/>
      <c r="C21" s="71" t="s">
        <v>532</v>
      </c>
    </row>
    <row r="22" spans="3:12" ht="14.25">
      <c r="C22" s="71" t="s">
        <v>582</v>
      </c>
      <c r="E22" s="172"/>
      <c r="F22" s="142"/>
      <c r="G22" s="258"/>
      <c r="H22" s="258"/>
      <c r="I22" s="258"/>
      <c r="J22" s="258"/>
      <c r="K22" s="258"/>
      <c r="L22" s="258"/>
    </row>
    <row r="23" spans="3:12" ht="14.25">
      <c r="C23" s="71" t="s">
        <v>532</v>
      </c>
      <c r="E23" s="172"/>
      <c r="F23" s="142"/>
      <c r="G23" s="258"/>
      <c r="H23" s="258"/>
      <c r="I23" s="258"/>
      <c r="J23" s="258"/>
      <c r="K23" s="258"/>
      <c r="L23" s="258"/>
    </row>
    <row r="24" spans="3:12" ht="14.25">
      <c r="C24" s="71" t="s">
        <v>486</v>
      </c>
      <c r="E24" s="172"/>
      <c r="F24" s="142"/>
      <c r="G24" s="258"/>
      <c r="H24" s="258"/>
      <c r="I24" s="258"/>
      <c r="J24" s="258"/>
      <c r="K24" s="258"/>
      <c r="L24" s="258"/>
    </row>
    <row r="25" spans="2:12" ht="14.25">
      <c r="B25" s="216"/>
      <c r="C25" s="71" t="s">
        <v>355</v>
      </c>
      <c r="G25" s="425"/>
      <c r="H25" s="528">
        <f>+H20/G20-1</f>
        <v>0.007268210276261344</v>
      </c>
      <c r="I25" s="528">
        <f>+I20/H20-1</f>
        <v>0.04310052627269334</v>
      </c>
      <c r="J25" s="528">
        <f>+J20/I20-1</f>
        <v>0.0035995404609283632</v>
      </c>
      <c r="K25" s="528">
        <f>+K20/J20-1</f>
        <v>0.013806717385333789</v>
      </c>
      <c r="L25" s="528">
        <f>+L20/K20-1</f>
        <v>0.007158383189778128</v>
      </c>
    </row>
    <row r="26" spans="2:12" ht="14.25">
      <c r="B26" s="216"/>
      <c r="G26" s="529"/>
      <c r="H26" s="530"/>
      <c r="I26" s="530"/>
      <c r="J26" s="530"/>
      <c r="K26" s="530"/>
      <c r="L26" s="530"/>
    </row>
    <row r="27" spans="1:217" s="532" customFormat="1" ht="14.25">
      <c r="A27" s="71"/>
      <c r="B27" s="216"/>
      <c r="C27" s="71" t="s">
        <v>527</v>
      </c>
      <c r="D27" s="71"/>
      <c r="E27" s="71"/>
      <c r="F27" s="71"/>
      <c r="G27" s="531">
        <f>'Allowed revenue'!G46</f>
        <v>11.163607085706735</v>
      </c>
      <c r="H27" s="531">
        <f>'Allowed revenue'!H46</f>
        <v>11.027876601107556</v>
      </c>
      <c r="I27" s="531">
        <f>'Allowed revenue'!I46</f>
        <v>10.7502357995932</v>
      </c>
      <c r="J27" s="531">
        <f>'Allowed revenue'!J46</f>
        <v>10.565327166241614</v>
      </c>
      <c r="K27" s="531">
        <f>'Allowed revenue'!K46</f>
        <v>10.384928499557141</v>
      </c>
      <c r="L27" s="531">
        <f>'Allowed revenue'!L46</f>
        <v>10.208929800352774</v>
      </c>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31"/>
      <c r="CB27" s="531"/>
      <c r="CC27" s="531"/>
      <c r="CD27" s="531"/>
      <c r="CE27" s="531"/>
      <c r="CF27" s="531"/>
      <c r="CG27" s="531"/>
      <c r="CH27" s="531"/>
      <c r="CI27" s="531"/>
      <c r="CJ27" s="531"/>
      <c r="CK27" s="531"/>
      <c r="CL27" s="531"/>
      <c r="CM27" s="531"/>
      <c r="CN27" s="531"/>
      <c r="CO27" s="531"/>
      <c r="CP27" s="531"/>
      <c r="CQ27" s="531"/>
      <c r="CR27" s="531"/>
      <c r="CS27" s="531"/>
      <c r="CT27" s="531"/>
      <c r="CU27" s="531"/>
      <c r="CV27" s="531"/>
      <c r="CW27" s="531"/>
      <c r="CX27" s="531"/>
      <c r="CY27" s="531"/>
      <c r="CZ27" s="531"/>
      <c r="DA27" s="531"/>
      <c r="DB27" s="531"/>
      <c r="DC27" s="531"/>
      <c r="DD27" s="531"/>
      <c r="DE27" s="531"/>
      <c r="DF27" s="531"/>
      <c r="DG27" s="531"/>
      <c r="DH27" s="531"/>
      <c r="DI27" s="531"/>
      <c r="DJ27" s="531"/>
      <c r="DK27" s="531"/>
      <c r="DL27" s="531"/>
      <c r="DM27" s="531"/>
      <c r="DN27" s="531"/>
      <c r="DO27" s="531"/>
      <c r="DP27" s="531"/>
      <c r="DQ27" s="531"/>
      <c r="DR27" s="531"/>
      <c r="DS27" s="531"/>
      <c r="DT27" s="531"/>
      <c r="DU27" s="531"/>
      <c r="DV27" s="531"/>
      <c r="DW27" s="531"/>
      <c r="DX27" s="531"/>
      <c r="DY27" s="531"/>
      <c r="DZ27" s="531"/>
      <c r="EA27" s="531"/>
      <c r="EB27" s="531"/>
      <c r="EC27" s="531"/>
      <c r="ED27" s="531"/>
      <c r="EE27" s="531"/>
      <c r="EF27" s="531"/>
      <c r="EG27" s="531"/>
      <c r="EH27" s="531"/>
      <c r="EI27" s="531"/>
      <c r="EJ27" s="531"/>
      <c r="EK27" s="531"/>
      <c r="EL27" s="531"/>
      <c r="EM27" s="531"/>
      <c r="EN27" s="531"/>
      <c r="EO27" s="531"/>
      <c r="EP27" s="531"/>
      <c r="EQ27" s="531"/>
      <c r="ER27" s="531"/>
      <c r="ES27" s="531"/>
      <c r="ET27" s="531"/>
      <c r="EU27" s="531"/>
      <c r="EV27" s="531"/>
      <c r="EW27" s="531"/>
      <c r="EX27" s="531"/>
      <c r="EY27" s="531"/>
      <c r="EZ27" s="531"/>
      <c r="FA27" s="531"/>
      <c r="FB27" s="531"/>
      <c r="FC27" s="531"/>
      <c r="FD27" s="531"/>
      <c r="FE27" s="531"/>
      <c r="FF27" s="531"/>
      <c r="FG27" s="531"/>
      <c r="FH27" s="531"/>
      <c r="FI27" s="531"/>
      <c r="FJ27" s="531"/>
      <c r="FK27" s="531"/>
      <c r="FL27" s="531"/>
      <c r="FM27" s="531"/>
      <c r="FN27" s="531"/>
      <c r="FO27" s="531"/>
      <c r="FP27" s="531"/>
      <c r="FQ27" s="531"/>
      <c r="FR27" s="531"/>
      <c r="FS27" s="531"/>
      <c r="FT27" s="531"/>
      <c r="FU27" s="531"/>
      <c r="FV27" s="531"/>
      <c r="FW27" s="531"/>
      <c r="FX27" s="531"/>
      <c r="FY27" s="531"/>
      <c r="FZ27" s="531"/>
      <c r="GA27" s="531"/>
      <c r="GB27" s="531"/>
      <c r="GC27" s="531"/>
      <c r="GD27" s="531"/>
      <c r="GE27" s="531"/>
      <c r="GF27" s="531"/>
      <c r="GG27" s="531"/>
      <c r="GH27" s="531"/>
      <c r="GI27" s="531"/>
      <c r="GJ27" s="531"/>
      <c r="GK27" s="531"/>
      <c r="GL27" s="531"/>
      <c r="GM27" s="531"/>
      <c r="GN27" s="531"/>
      <c r="GO27" s="531"/>
      <c r="GP27" s="531"/>
      <c r="GQ27" s="531"/>
      <c r="GR27" s="531"/>
      <c r="GS27" s="531"/>
      <c r="GT27" s="531"/>
      <c r="GU27" s="531"/>
      <c r="GV27" s="531"/>
      <c r="GW27" s="531"/>
      <c r="GX27" s="531"/>
      <c r="GY27" s="531"/>
      <c r="GZ27" s="531"/>
      <c r="HA27" s="531"/>
      <c r="HB27" s="531"/>
      <c r="HC27" s="531"/>
      <c r="HD27" s="531"/>
      <c r="HE27" s="531"/>
      <c r="HF27" s="531"/>
      <c r="HG27" s="531"/>
      <c r="HH27" s="531"/>
      <c r="HI27" s="531"/>
    </row>
    <row r="28" spans="2:12" ht="14.25">
      <c r="B28" s="216"/>
      <c r="G28" s="529"/>
      <c r="H28" s="530"/>
      <c r="I28" s="530"/>
      <c r="J28" s="530"/>
      <c r="K28" s="530"/>
      <c r="L28" s="530"/>
    </row>
    <row r="29" spans="2:217" ht="14.25">
      <c r="B29" s="216"/>
      <c r="C29" s="216" t="s">
        <v>526</v>
      </c>
      <c r="G29" s="533">
        <f aca="true" t="shared" si="4" ref="G29:L29">G20+G27</f>
        <v>264.94078635399046</v>
      </c>
      <c r="H29" s="533">
        <f t="shared" si="4"/>
        <v>266.64956177162964</v>
      </c>
      <c r="I29" s="533">
        <f t="shared" si="4"/>
        <v>277.3893501276775</v>
      </c>
      <c r="J29" s="533">
        <f t="shared" si="4"/>
        <v>278.164219774816</v>
      </c>
      <c r="K29" s="533">
        <f t="shared" si="4"/>
        <v>281.6784833910064</v>
      </c>
      <c r="L29" s="533">
        <f t="shared" si="4"/>
        <v>283.44450791463214</v>
      </c>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533"/>
      <c r="CB29" s="533"/>
      <c r="CC29" s="533"/>
      <c r="CD29" s="533"/>
      <c r="CE29" s="533"/>
      <c r="CF29" s="533"/>
      <c r="CG29" s="533"/>
      <c r="CH29" s="533"/>
      <c r="CI29" s="533"/>
      <c r="CJ29" s="533"/>
      <c r="CK29" s="533"/>
      <c r="CL29" s="533"/>
      <c r="CM29" s="533"/>
      <c r="CN29" s="533"/>
      <c r="CO29" s="533"/>
      <c r="CP29" s="533"/>
      <c r="CQ29" s="533"/>
      <c r="CR29" s="533"/>
      <c r="CS29" s="533"/>
      <c r="CT29" s="533"/>
      <c r="CU29" s="533"/>
      <c r="CV29" s="533"/>
      <c r="CW29" s="533"/>
      <c r="CX29" s="533"/>
      <c r="CY29" s="533"/>
      <c r="CZ29" s="533"/>
      <c r="DA29" s="533"/>
      <c r="DB29" s="533"/>
      <c r="DC29" s="533"/>
      <c r="DD29" s="533"/>
      <c r="DE29" s="533"/>
      <c r="DF29" s="533"/>
      <c r="DG29" s="533"/>
      <c r="DH29" s="533"/>
      <c r="DI29" s="533"/>
      <c r="DJ29" s="533"/>
      <c r="DK29" s="533"/>
      <c r="DL29" s="533"/>
      <c r="DM29" s="533"/>
      <c r="DN29" s="533"/>
      <c r="DO29" s="533"/>
      <c r="DP29" s="533"/>
      <c r="DQ29" s="533"/>
      <c r="DR29" s="533"/>
      <c r="DS29" s="533"/>
      <c r="DT29" s="533"/>
      <c r="DU29" s="533"/>
      <c r="DV29" s="533"/>
      <c r="DW29" s="533"/>
      <c r="DX29" s="533"/>
      <c r="DY29" s="533"/>
      <c r="DZ29" s="533"/>
      <c r="EA29" s="533"/>
      <c r="EB29" s="533"/>
      <c r="EC29" s="533"/>
      <c r="ED29" s="533"/>
      <c r="EE29" s="533"/>
      <c r="EF29" s="533"/>
      <c r="EG29" s="533"/>
      <c r="EH29" s="533"/>
      <c r="EI29" s="533"/>
      <c r="EJ29" s="533"/>
      <c r="EK29" s="533"/>
      <c r="EL29" s="533"/>
      <c r="EM29" s="533"/>
      <c r="EN29" s="533"/>
      <c r="EO29" s="533"/>
      <c r="EP29" s="533"/>
      <c r="EQ29" s="533"/>
      <c r="ER29" s="533"/>
      <c r="ES29" s="533"/>
      <c r="ET29" s="533"/>
      <c r="EU29" s="533"/>
      <c r="EV29" s="533"/>
      <c r="EW29" s="533"/>
      <c r="EX29" s="533"/>
      <c r="EY29" s="533"/>
      <c r="EZ29" s="533"/>
      <c r="FA29" s="533"/>
      <c r="FB29" s="533"/>
      <c r="FC29" s="533"/>
      <c r="FD29" s="533"/>
      <c r="FE29" s="533"/>
      <c r="FF29" s="533"/>
      <c r="FG29" s="533"/>
      <c r="FH29" s="533"/>
      <c r="FI29" s="533"/>
      <c r="FJ29" s="533"/>
      <c r="FK29" s="533"/>
      <c r="FL29" s="533"/>
      <c r="FM29" s="533"/>
      <c r="FN29" s="533"/>
      <c r="FO29" s="533"/>
      <c r="FP29" s="533"/>
      <c r="FQ29" s="533"/>
      <c r="FR29" s="533"/>
      <c r="FS29" s="533"/>
      <c r="FT29" s="533"/>
      <c r="FU29" s="533"/>
      <c r="FV29" s="533"/>
      <c r="FW29" s="533"/>
      <c r="FX29" s="533"/>
      <c r="FY29" s="533"/>
      <c r="FZ29" s="533"/>
      <c r="GA29" s="533"/>
      <c r="GB29" s="533"/>
      <c r="GC29" s="533"/>
      <c r="GD29" s="533"/>
      <c r="GE29" s="533"/>
      <c r="GF29" s="533"/>
      <c r="GG29" s="533"/>
      <c r="GH29" s="533"/>
      <c r="GI29" s="533"/>
      <c r="GJ29" s="533"/>
      <c r="GK29" s="533"/>
      <c r="GL29" s="533"/>
      <c r="GM29" s="533"/>
      <c r="GN29" s="533"/>
      <c r="GO29" s="533"/>
      <c r="GP29" s="533"/>
      <c r="GQ29" s="533"/>
      <c r="GR29" s="533"/>
      <c r="GS29" s="533"/>
      <c r="GT29" s="533"/>
      <c r="GU29" s="533"/>
      <c r="GV29" s="533"/>
      <c r="GW29" s="533"/>
      <c r="GX29" s="533"/>
      <c r="GY29" s="533"/>
      <c r="GZ29" s="533"/>
      <c r="HA29" s="533"/>
      <c r="HB29" s="533"/>
      <c r="HC29" s="533"/>
      <c r="HD29" s="533"/>
      <c r="HE29" s="533"/>
      <c r="HF29" s="533"/>
      <c r="HG29" s="533"/>
      <c r="HH29" s="533"/>
      <c r="HI29" s="533"/>
    </row>
    <row r="30" spans="2:217" ht="14.25" hidden="1">
      <c r="B30" s="216"/>
      <c r="C30" s="71" t="s">
        <v>356</v>
      </c>
      <c r="G30" s="425" t="e">
        <f>+G29/F22-1</f>
        <v>#DIV/0!</v>
      </c>
      <c r="H30" s="425">
        <f>+H29/G29-1</f>
        <v>0.0064496502828221836</v>
      </c>
      <c r="I30" s="425">
        <f>+I29/H29-1</f>
        <v>0.04027678982366334</v>
      </c>
      <c r="J30" s="425">
        <f>+J29/I29-1</f>
        <v>0.0027934369029734007</v>
      </c>
      <c r="K30" s="425">
        <f>+K29/J29-1</f>
        <v>0.012633773024565587</v>
      </c>
      <c r="L30" s="425">
        <f>+L29/K29-1</f>
        <v>0.006269646521684269</v>
      </c>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425"/>
      <c r="CS30" s="425"/>
      <c r="CT30" s="425"/>
      <c r="CU30" s="425"/>
      <c r="CV30" s="425"/>
      <c r="CW30" s="425"/>
      <c r="CX30" s="425"/>
      <c r="CY30" s="425"/>
      <c r="CZ30" s="425"/>
      <c r="DA30" s="425"/>
      <c r="DB30" s="425"/>
      <c r="DC30" s="425"/>
      <c r="DD30" s="425"/>
      <c r="DE30" s="425"/>
      <c r="DF30" s="425"/>
      <c r="DG30" s="425"/>
      <c r="DH30" s="425"/>
      <c r="DI30" s="425"/>
      <c r="DJ30" s="425"/>
      <c r="DK30" s="425"/>
      <c r="DL30" s="425"/>
      <c r="DM30" s="425"/>
      <c r="DN30" s="425"/>
      <c r="DO30" s="425"/>
      <c r="DP30" s="425"/>
      <c r="DQ30" s="425"/>
      <c r="DR30" s="425"/>
      <c r="DS30" s="425"/>
      <c r="DT30" s="425"/>
      <c r="DU30" s="425"/>
      <c r="DV30" s="425"/>
      <c r="DW30" s="425"/>
      <c r="DX30" s="425"/>
      <c r="DY30" s="425"/>
      <c r="DZ30" s="425"/>
      <c r="EA30" s="425"/>
      <c r="EB30" s="425"/>
      <c r="EC30" s="425"/>
      <c r="ED30" s="425"/>
      <c r="EE30" s="425"/>
      <c r="EF30" s="425"/>
      <c r="EG30" s="425"/>
      <c r="EH30" s="425"/>
      <c r="EI30" s="425"/>
      <c r="EJ30" s="425"/>
      <c r="EK30" s="425"/>
      <c r="EL30" s="425"/>
      <c r="EM30" s="425"/>
      <c r="EN30" s="425"/>
      <c r="EO30" s="425"/>
      <c r="EP30" s="425"/>
      <c r="EQ30" s="425"/>
      <c r="ER30" s="425"/>
      <c r="ES30" s="425"/>
      <c r="ET30" s="425"/>
      <c r="EU30" s="425"/>
      <c r="EV30" s="425"/>
      <c r="EW30" s="425"/>
      <c r="EX30" s="425"/>
      <c r="EY30" s="425"/>
      <c r="EZ30" s="425"/>
      <c r="FA30" s="425"/>
      <c r="FB30" s="425"/>
      <c r="FC30" s="425"/>
      <c r="FD30" s="425"/>
      <c r="FE30" s="425"/>
      <c r="FF30" s="425"/>
      <c r="FG30" s="425"/>
      <c r="FH30" s="425"/>
      <c r="FI30" s="425"/>
      <c r="FJ30" s="425"/>
      <c r="FK30" s="425"/>
      <c r="FL30" s="425"/>
      <c r="FM30" s="425"/>
      <c r="FN30" s="425"/>
      <c r="FO30" s="425"/>
      <c r="FP30" s="425"/>
      <c r="FQ30" s="425"/>
      <c r="FR30" s="425"/>
      <c r="FS30" s="425"/>
      <c r="FT30" s="425"/>
      <c r="FU30" s="425"/>
      <c r="FV30" s="425"/>
      <c r="FW30" s="425"/>
      <c r="FX30" s="425"/>
      <c r="FY30" s="425"/>
      <c r="FZ30" s="425"/>
      <c r="GA30" s="425"/>
      <c r="GB30" s="425"/>
      <c r="GC30" s="425"/>
      <c r="GD30" s="425"/>
      <c r="GE30" s="425"/>
      <c r="GF30" s="425"/>
      <c r="GG30" s="425"/>
      <c r="GH30" s="425"/>
      <c r="GI30" s="425"/>
      <c r="GJ30" s="425"/>
      <c r="GK30" s="425"/>
      <c r="GL30" s="425"/>
      <c r="GM30" s="425"/>
      <c r="GN30" s="425"/>
      <c r="GO30" s="425"/>
      <c r="GP30" s="425"/>
      <c r="GQ30" s="425"/>
      <c r="GR30" s="425"/>
      <c r="GS30" s="425"/>
      <c r="GT30" s="425"/>
      <c r="GU30" s="425"/>
      <c r="GV30" s="425"/>
      <c r="GW30" s="425"/>
      <c r="GX30" s="425"/>
      <c r="GY30" s="425"/>
      <c r="GZ30" s="425"/>
      <c r="HA30" s="425"/>
      <c r="HB30" s="425"/>
      <c r="HC30" s="425"/>
      <c r="HD30" s="425"/>
      <c r="HE30" s="425"/>
      <c r="HF30" s="425"/>
      <c r="HG30" s="425"/>
      <c r="HH30" s="425"/>
      <c r="HI30" s="425"/>
    </row>
    <row r="32" spans="1:12" s="172" customFormat="1" ht="14.25">
      <c r="A32" s="71"/>
      <c r="B32" s="71"/>
      <c r="C32" s="216" t="s">
        <v>525</v>
      </c>
      <c r="D32" s="71"/>
      <c r="E32" s="71"/>
      <c r="F32" s="71"/>
      <c r="G32" s="534">
        <f>'Allowed revenue'!G48</f>
        <v>251.99796044930216</v>
      </c>
      <c r="H32" s="534">
        <f>'Allowed revenue'!H48</f>
        <v>253.14028496520626</v>
      </c>
      <c r="I32" s="534">
        <f>'Allowed revenue'!I48</f>
        <v>263.1399052181004</v>
      </c>
      <c r="J32" s="534">
        <f>'Allowed revenue'!J48</f>
        <v>263.2176311003132</v>
      </c>
      <c r="K32" s="534">
        <f>'Allowed revenue'!K48</f>
        <v>266.0495001273214</v>
      </c>
      <c r="L32" s="534">
        <f>'Allowed revenue'!L48</f>
        <v>267.3049015616096</v>
      </c>
    </row>
    <row r="34" spans="3:12" ht="14.25">
      <c r="C34" s="267" t="s">
        <v>523</v>
      </c>
      <c r="D34" s="98"/>
      <c r="E34" s="98"/>
      <c r="F34" s="535"/>
      <c r="G34" s="98"/>
      <c r="H34" s="98"/>
      <c r="I34" s="98"/>
      <c r="J34" s="98"/>
      <c r="K34" s="98"/>
      <c r="L34" s="98"/>
    </row>
    <row r="35" spans="3:217" ht="14.25">
      <c r="C35" s="535" t="s">
        <v>7</v>
      </c>
      <c r="D35" s="98"/>
      <c r="E35" s="98"/>
      <c r="F35" s="535"/>
      <c r="G35" s="144">
        <f>+'Output checks'!G19-'Allowed revenue'!G28</f>
        <v>11.388243887674879</v>
      </c>
      <c r="H35" s="144">
        <f>+'Output checks'!H19-'Allowed revenue'!H28</f>
        <v>12.143344450206794</v>
      </c>
      <c r="I35" s="144">
        <f>+'Output checks'!I19-'Allowed revenue'!I28</f>
        <v>12.811251849554933</v>
      </c>
      <c r="J35" s="144">
        <f>+'Output checks'!J19-'Allowed revenue'!J28</f>
        <v>13.439141914922958</v>
      </c>
      <c r="K35" s="144">
        <f>+'Output checks'!K19-'Allowed revenue'!K28</f>
        <v>14.053725850379232</v>
      </c>
      <c r="L35" s="144">
        <f>+'Output checks'!L19-'Allowed revenue'!L28</f>
        <v>14.520357253024256</v>
      </c>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row>
    <row r="36" spans="3:217" ht="14.25">
      <c r="C36" s="535" t="s">
        <v>509</v>
      </c>
      <c r="D36" s="98"/>
      <c r="E36" s="98"/>
      <c r="F36" s="535"/>
      <c r="G36" s="144">
        <f>+G6*RealRAV!G36*((1+G6)^0.5-1)</f>
        <v>1.6630328049281957</v>
      </c>
      <c r="H36" s="144">
        <f>+H6*RealRAV!H36*((1+H6)^0.5-1)</f>
        <v>1.4590302083771471</v>
      </c>
      <c r="I36" s="144">
        <f>+I6*RealRAV!I36*((1+I6)^0.5-1)</f>
        <v>1.5158523734388585</v>
      </c>
      <c r="J36" s="144">
        <f>+J6*RealRAV!J36*((1+J6)^0.5-1)</f>
        <v>1.5666548003207792</v>
      </c>
      <c r="K36" s="144">
        <f>+K6*RealRAV!K36*((1+K6)^0.5-1)</f>
        <v>1.6092521045519124</v>
      </c>
      <c r="L36" s="144">
        <f>+L6*RealRAV!L36*((1+L6)^0.5-1)</f>
        <v>1.6488832343715067</v>
      </c>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row>
    <row r="37" spans="1:217" s="214" customFormat="1" ht="14.25">
      <c r="A37" s="71"/>
      <c r="B37" s="71"/>
      <c r="C37" s="535" t="s">
        <v>800</v>
      </c>
      <c r="D37" s="98"/>
      <c r="E37" s="98"/>
      <c r="F37" s="535"/>
      <c r="G37" s="144">
        <f>+'Allowed revenue'!G24*((1+G6/2)-(1+G6)^0.5)</f>
        <v>0.0223427883136731</v>
      </c>
      <c r="H37" s="144">
        <f>+'Allowed revenue'!H24*((1+H6/2)-(1+H6)^0.5)</f>
        <v>0.025642730027584843</v>
      </c>
      <c r="I37" s="144">
        <f>+'Allowed revenue'!I24*((1+I6/2)-(1+I6)^0.5)</f>
        <v>0.02698350681057575</v>
      </c>
      <c r="J37" s="144">
        <f>+'Allowed revenue'!J24*((1+J6/2)-(1+J6)^0.5)</f>
        <v>0.023462195726579527</v>
      </c>
      <c r="K37" s="144">
        <f>+'Allowed revenue'!K24*((1+K6/2)-(1+K6)^0.5)</f>
        <v>0.02367474470211444</v>
      </c>
      <c r="L37" s="144">
        <f>+'Allowed revenue'!L24*((1+L6/2)-(1+L6)^0.5)</f>
        <v>0.022668405224115836</v>
      </c>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row>
    <row r="38" spans="3:12" ht="14.25">
      <c r="C38" s="535" t="s">
        <v>510</v>
      </c>
      <c r="D38" s="98"/>
      <c r="E38" s="98"/>
      <c r="F38" s="535"/>
      <c r="G38" s="144">
        <f aca="true" t="shared" si="5" ref="G38:L38">+G39-SUM(G35:G37)</f>
        <v>-0.13079357622844334</v>
      </c>
      <c r="H38" s="144">
        <f t="shared" si="5"/>
        <v>-0.11874058218815264</v>
      </c>
      <c r="I38" s="144">
        <f t="shared" si="5"/>
        <v>-0.10464282022726046</v>
      </c>
      <c r="J38" s="144">
        <f t="shared" si="5"/>
        <v>-0.08267023646753913</v>
      </c>
      <c r="K38" s="144">
        <f t="shared" si="5"/>
        <v>-0.057669435948229264</v>
      </c>
      <c r="L38" s="144">
        <f t="shared" si="5"/>
        <v>-0.052302539597334885</v>
      </c>
    </row>
    <row r="39" spans="3:12" ht="15" thickBot="1">
      <c r="C39" s="535" t="s">
        <v>78</v>
      </c>
      <c r="D39" s="98"/>
      <c r="E39" s="98"/>
      <c r="F39" s="535"/>
      <c r="G39" s="144">
        <f aca="true" t="shared" si="6" ref="G39:L39">G29-G32</f>
        <v>12.942825904688306</v>
      </c>
      <c r="H39" s="144">
        <f t="shared" si="6"/>
        <v>13.509276806423372</v>
      </c>
      <c r="I39" s="144">
        <f t="shared" si="6"/>
        <v>14.249444909577107</v>
      </c>
      <c r="J39" s="144">
        <f t="shared" si="6"/>
        <v>14.946588674502777</v>
      </c>
      <c r="K39" s="144">
        <f t="shared" si="6"/>
        <v>15.62898326368503</v>
      </c>
      <c r="L39" s="144">
        <f t="shared" si="6"/>
        <v>16.139606353022543</v>
      </c>
    </row>
    <row r="40" spans="3:12" ht="15" thickBot="1">
      <c r="C40" s="535" t="s">
        <v>511</v>
      </c>
      <c r="D40" s="98"/>
      <c r="E40" s="98"/>
      <c r="F40" s="98"/>
      <c r="G40" s="536"/>
      <c r="H40" s="537" t="str">
        <f>+IF(ABS(H38)&lt;0.25,"ok!","oh no!")</f>
        <v>ok!</v>
      </c>
      <c r="I40" s="537" t="str">
        <f>+IF(ABS(I38)&lt;0.25,"ok!","oh no!")</f>
        <v>ok!</v>
      </c>
      <c r="J40" s="537" t="str">
        <f>+IF(ABS(J38)&lt;0.25,"ok!","oh no!")</f>
        <v>ok!</v>
      </c>
      <c r="K40" s="537" t="str">
        <f>+IF(ABS(K38)&lt;0.25,"ok!","oh no!")</f>
        <v>ok!</v>
      </c>
      <c r="L40" s="538" t="str">
        <f>+IF(ABS(L38)&lt;0.25,"ok!","oh no!")</f>
        <v>ok!</v>
      </c>
    </row>
    <row r="41" spans="3:12" ht="14.25">
      <c r="C41" s="535"/>
      <c r="D41" s="98"/>
      <c r="E41" s="98"/>
      <c r="F41" s="98"/>
      <c r="G41" s="98"/>
      <c r="H41" s="98"/>
      <c r="I41" s="98"/>
      <c r="J41" s="98"/>
      <c r="K41" s="98"/>
      <c r="L41" s="98"/>
    </row>
    <row r="42" spans="3:217" ht="14.25">
      <c r="C42" s="144"/>
      <c r="D42" s="98"/>
      <c r="E42" s="98"/>
      <c r="F42" s="98"/>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row>
    <row r="43" spans="3:12" ht="14.25">
      <c r="C43" s="98"/>
      <c r="D43" s="98"/>
      <c r="E43" s="98"/>
      <c r="F43" s="98"/>
      <c r="G43" s="144"/>
      <c r="H43" s="144"/>
      <c r="I43" s="144"/>
      <c r="J43" s="144"/>
      <c r="K43" s="144"/>
      <c r="L43" s="144"/>
    </row>
    <row r="44" spans="3:12" ht="14.25">
      <c r="C44" s="267" t="s">
        <v>512</v>
      </c>
      <c r="D44" s="98"/>
      <c r="E44" s="98"/>
      <c r="F44" s="98"/>
      <c r="G44" s="98"/>
      <c r="H44" s="98"/>
      <c r="I44" s="98"/>
      <c r="J44" s="98"/>
      <c r="K44" s="98"/>
      <c r="L44" s="98"/>
    </row>
    <row r="45" spans="3:12" ht="14.25">
      <c r="C45" s="144" t="s">
        <v>513</v>
      </c>
      <c r="D45" s="98"/>
      <c r="E45" s="98"/>
      <c r="F45" s="98"/>
      <c r="G45" s="142">
        <f>'Allowed revenue'!G24+'Allowed revenue'!G25+'Allowed revenue'!G36</f>
        <v>97.08609238493169</v>
      </c>
      <c r="H45" s="142">
        <f>'Allowed revenue'!H24+'Allowed revenue'!H25+'Allowed revenue'!H36</f>
        <v>96.58102406005861</v>
      </c>
      <c r="I45" s="142">
        <f>'Allowed revenue'!I24+'Allowed revenue'!I25+'Allowed revenue'!I36</f>
        <v>101.49806441259032</v>
      </c>
      <c r="J45" s="142">
        <f>'Allowed revenue'!J24+'Allowed revenue'!J25+'Allowed revenue'!J36</f>
        <v>106.0987740810611</v>
      </c>
      <c r="K45" s="142">
        <f>'Allowed revenue'!K24+'Allowed revenue'!K25+'Allowed revenue'!K36</f>
        <v>110.68016818095535</v>
      </c>
      <c r="L45" s="142">
        <f>'Allowed revenue'!L24+'Allowed revenue'!L25+'Allowed revenue'!L36</f>
        <v>114.5934988089658</v>
      </c>
    </row>
    <row r="46" spans="3:217" ht="14.25">
      <c r="C46" s="144" t="s">
        <v>514</v>
      </c>
      <c r="D46" s="98"/>
      <c r="E46" s="98"/>
      <c r="F46" s="98"/>
      <c r="G46" s="142">
        <f>+RealRAV!G10*'Allowed revenue'!G10</f>
        <v>58.39612790524781</v>
      </c>
      <c r="H46" s="142">
        <f>+RealRAV!H10*'Allowed revenue'!H10</f>
        <v>55.95590558188458</v>
      </c>
      <c r="I46" s="142">
        <f>+RealRAV!I10*'Allowed revenue'!I10</f>
        <v>59.28195501701655</v>
      </c>
      <c r="J46" s="142">
        <f>+RealRAV!J10*'Allowed revenue'!J10</f>
        <v>62.294210494065915</v>
      </c>
      <c r="K46" s="142">
        <f>+RealRAV!K10*'Allowed revenue'!K10</f>
        <v>65.24050359652944</v>
      </c>
      <c r="L46" s="142">
        <f>+RealRAV!L10*'Allowed revenue'!L10</f>
        <v>68.12648661625299</v>
      </c>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c r="EP46" s="142"/>
      <c r="EQ46" s="142"/>
      <c r="ER46" s="142"/>
      <c r="ES46" s="142"/>
      <c r="ET46" s="142"/>
      <c r="EU46" s="142"/>
      <c r="EV46" s="142"/>
      <c r="EW46" s="142"/>
      <c r="EX46" s="142"/>
      <c r="EY46" s="142"/>
      <c r="EZ46" s="142"/>
      <c r="FA46" s="142"/>
      <c r="FB46" s="142"/>
      <c r="FC46" s="142"/>
      <c r="FD46" s="142"/>
      <c r="FE46" s="142"/>
      <c r="FF46" s="142"/>
      <c r="FG46" s="142"/>
      <c r="FH46" s="142"/>
      <c r="FI46" s="142"/>
      <c r="FJ46" s="142"/>
      <c r="FK46" s="142"/>
      <c r="FL46" s="142"/>
      <c r="FM46" s="142"/>
      <c r="FN46" s="142"/>
      <c r="FO46" s="142"/>
      <c r="FP46" s="142"/>
      <c r="FQ46" s="142"/>
      <c r="FR46" s="142"/>
      <c r="FS46" s="142"/>
      <c r="FT46" s="142"/>
      <c r="FU46" s="142"/>
      <c r="FV46" s="142"/>
      <c r="FW46" s="142"/>
      <c r="FX46" s="142"/>
      <c r="FY46" s="142"/>
      <c r="FZ46" s="142"/>
      <c r="GA46" s="142"/>
      <c r="GB46" s="142"/>
      <c r="GC46" s="142"/>
      <c r="GD46" s="142"/>
      <c r="GE46" s="142"/>
      <c r="GF46" s="142"/>
      <c r="GG46" s="142"/>
      <c r="GH46" s="142"/>
      <c r="GI46" s="142"/>
      <c r="GJ46" s="142"/>
      <c r="GK46" s="142"/>
      <c r="GL46" s="142"/>
      <c r="GM46" s="142"/>
      <c r="GN46" s="142"/>
      <c r="GO46" s="142"/>
      <c r="GP46" s="142"/>
      <c r="GQ46" s="142"/>
      <c r="GR46" s="142"/>
      <c r="GS46" s="142"/>
      <c r="GT46" s="142"/>
      <c r="GU46" s="142"/>
      <c r="GV46" s="142"/>
      <c r="GW46" s="142"/>
      <c r="GX46" s="142"/>
      <c r="GY46" s="142"/>
      <c r="GZ46" s="142"/>
      <c r="HA46" s="142"/>
      <c r="HB46" s="142"/>
      <c r="HC46" s="142"/>
      <c r="HD46" s="142"/>
      <c r="HE46" s="142"/>
      <c r="HF46" s="142"/>
      <c r="HG46" s="142"/>
      <c r="HH46" s="142"/>
      <c r="HI46" s="142"/>
    </row>
    <row r="47" spans="3:217" ht="14.25">
      <c r="C47" s="144" t="s">
        <v>515</v>
      </c>
      <c r="D47" s="98"/>
      <c r="E47" s="98"/>
      <c r="F47" s="98"/>
      <c r="G47" s="142">
        <f>+(RealRAV!G12+RealRAV!G11)*((1+G6)^0.5-1)</f>
        <v>1.1120182677383514</v>
      </c>
      <c r="H47" s="142">
        <f>+(RealRAV!H12+RealRAV!H11)*((1+H6)^0.5-1)</f>
        <v>1.6433599675046957</v>
      </c>
      <c r="I47" s="142">
        <f>+(RealRAV!I12+RealRAV!I11)*((1+I6)^0.5-1)</f>
        <v>1.4883182464433995</v>
      </c>
      <c r="J47" s="142">
        <f>+(RealRAV!J12+RealRAV!J11)*((1+J6)^0.5-1)</f>
        <v>1.4557270514326046</v>
      </c>
      <c r="K47" s="142">
        <f>+(RealRAV!K12+RealRAV!K11)*((1+K6)^0.5-1)</f>
        <v>1.4259285840481803</v>
      </c>
      <c r="L47" s="142">
        <f>+(RealRAV!L12+RealRAV!L11)*((1+L6)^0.5-1)</f>
        <v>0.7620085447120186</v>
      </c>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c r="FA47" s="142"/>
      <c r="FB47" s="142"/>
      <c r="FC47" s="142"/>
      <c r="FD47" s="142"/>
      <c r="FE47" s="142"/>
      <c r="FF47" s="142"/>
      <c r="FG47" s="142"/>
      <c r="FH47" s="142"/>
      <c r="FI47" s="142"/>
      <c r="FJ47" s="142"/>
      <c r="FK47" s="142"/>
      <c r="FL47" s="142"/>
      <c r="FM47" s="142"/>
      <c r="FN47" s="142"/>
      <c r="FO47" s="142"/>
      <c r="FP47" s="142"/>
      <c r="FQ47" s="142"/>
      <c r="FR47" s="142"/>
      <c r="FS47" s="142"/>
      <c r="FT47" s="142"/>
      <c r="FU47" s="142"/>
      <c r="FV47" s="142"/>
      <c r="FW47" s="142"/>
      <c r="FX47" s="142"/>
      <c r="FY47" s="142"/>
      <c r="FZ47" s="142"/>
      <c r="GA47" s="142"/>
      <c r="GB47" s="142"/>
      <c r="GC47" s="142"/>
      <c r="GD47" s="142"/>
      <c r="GE47" s="142"/>
      <c r="GF47" s="142"/>
      <c r="GG47" s="142"/>
      <c r="GH47" s="142"/>
      <c r="GI47" s="142"/>
      <c r="GJ47" s="142"/>
      <c r="GK47" s="142"/>
      <c r="GL47" s="142"/>
      <c r="GM47" s="142"/>
      <c r="GN47" s="142"/>
      <c r="GO47" s="142"/>
      <c r="GP47" s="142"/>
      <c r="GQ47" s="142"/>
      <c r="GR47" s="142"/>
      <c r="GS47" s="142"/>
      <c r="GT47" s="142"/>
      <c r="GU47" s="142"/>
      <c r="GV47" s="142"/>
      <c r="GW47" s="142"/>
      <c r="GX47" s="142"/>
      <c r="GY47" s="142"/>
      <c r="GZ47" s="142"/>
      <c r="HA47" s="142"/>
      <c r="HB47" s="142"/>
      <c r="HC47" s="142"/>
      <c r="HD47" s="142"/>
      <c r="HE47" s="142"/>
      <c r="HF47" s="142"/>
      <c r="HG47" s="142"/>
      <c r="HH47" s="142"/>
      <c r="HI47" s="142"/>
    </row>
    <row r="48" spans="3:12" ht="14.25">
      <c r="C48" s="144" t="s">
        <v>516</v>
      </c>
      <c r="D48" s="98"/>
      <c r="E48" s="98"/>
      <c r="F48" s="98"/>
      <c r="G48" s="142">
        <f aca="true" t="shared" si="7" ref="G48:L48">+G46+G47</f>
        <v>59.50814617298616</v>
      </c>
      <c r="H48" s="142">
        <f t="shared" si="7"/>
        <v>57.59926554938927</v>
      </c>
      <c r="I48" s="142">
        <f t="shared" si="7"/>
        <v>60.77027326345995</v>
      </c>
      <c r="J48" s="142">
        <f t="shared" si="7"/>
        <v>63.74993754549852</v>
      </c>
      <c r="K48" s="142">
        <f t="shared" si="7"/>
        <v>66.66643218057762</v>
      </c>
      <c r="L48" s="142">
        <f t="shared" si="7"/>
        <v>68.88849516096501</v>
      </c>
    </row>
    <row r="49" spans="3:217" ht="14.25">
      <c r="C49" s="144" t="s">
        <v>517</v>
      </c>
      <c r="D49" s="98"/>
      <c r="E49" s="98"/>
      <c r="F49" s="98"/>
      <c r="G49" s="142">
        <f aca="true" t="shared" si="8" ref="G49:L49">+G48/(G6+1)^0.5</f>
        <v>58.004991684171</v>
      </c>
      <c r="H49" s="142">
        <f t="shared" si="8"/>
        <v>56.252997943234014</v>
      </c>
      <c r="I49" s="142">
        <f t="shared" si="8"/>
        <v>59.34988969551936</v>
      </c>
      <c r="J49" s="142">
        <f t="shared" si="8"/>
        <v>62.25991028571802</v>
      </c>
      <c r="K49" s="142">
        <f t="shared" si="8"/>
        <v>65.10823769308541</v>
      </c>
      <c r="L49" s="142">
        <f t="shared" si="8"/>
        <v>67.27836439649428</v>
      </c>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c r="EN49" s="142"/>
      <c r="EO49" s="142"/>
      <c r="EP49" s="142"/>
      <c r="EQ49" s="142"/>
      <c r="ER49" s="142"/>
      <c r="ES49" s="142"/>
      <c r="ET49" s="142"/>
      <c r="EU49" s="142"/>
      <c r="EV49" s="142"/>
      <c r="EW49" s="142"/>
      <c r="EX49" s="142"/>
      <c r="EY49" s="142"/>
      <c r="EZ49" s="142"/>
      <c r="FA49" s="142"/>
      <c r="FB49" s="142"/>
      <c r="FC49" s="142"/>
      <c r="FD49" s="142"/>
      <c r="FE49" s="142"/>
      <c r="FF49" s="142"/>
      <c r="FG49" s="142"/>
      <c r="FH49" s="142"/>
      <c r="FI49" s="142"/>
      <c r="FJ49" s="142"/>
      <c r="FK49" s="142"/>
      <c r="FL49" s="142"/>
      <c r="FM49" s="142"/>
      <c r="FN49" s="142"/>
      <c r="FO49" s="142"/>
      <c r="FP49" s="142"/>
      <c r="FQ49" s="142"/>
      <c r="FR49" s="142"/>
      <c r="FS49" s="142"/>
      <c r="FT49" s="142"/>
      <c r="FU49" s="142"/>
      <c r="FV49" s="142"/>
      <c r="FW49" s="142"/>
      <c r="FX49" s="142"/>
      <c r="FY49" s="142"/>
      <c r="FZ49" s="142"/>
      <c r="GA49" s="142"/>
      <c r="GB49" s="142"/>
      <c r="GC49" s="142"/>
      <c r="GD49" s="142"/>
      <c r="GE49" s="142"/>
      <c r="GF49" s="142"/>
      <c r="GG49" s="142"/>
      <c r="GH49" s="142"/>
      <c r="GI49" s="142"/>
      <c r="GJ49" s="142"/>
      <c r="GK49" s="142"/>
      <c r="GL49" s="142"/>
      <c r="GM49" s="142"/>
      <c r="GN49" s="142"/>
      <c r="GO49" s="142"/>
      <c r="GP49" s="142"/>
      <c r="GQ49" s="142"/>
      <c r="GR49" s="142"/>
      <c r="GS49" s="142"/>
      <c r="GT49" s="142"/>
      <c r="GU49" s="142"/>
      <c r="GV49" s="142"/>
      <c r="GW49" s="142"/>
      <c r="GX49" s="142"/>
      <c r="GY49" s="142"/>
      <c r="GZ49" s="142"/>
      <c r="HA49" s="142"/>
      <c r="HB49" s="142"/>
      <c r="HC49" s="142"/>
      <c r="HD49" s="142"/>
      <c r="HE49" s="142"/>
      <c r="HF49" s="142"/>
      <c r="HG49" s="142"/>
      <c r="HH49" s="142"/>
      <c r="HI49" s="142"/>
    </row>
    <row r="50" spans="3:12" ht="14.25">
      <c r="C50" s="144" t="s">
        <v>786</v>
      </c>
      <c r="D50" s="98"/>
      <c r="E50" s="98"/>
      <c r="F50" s="98"/>
      <c r="G50" s="142">
        <f>-RealRAV!G11</f>
        <v>39.11811968236438</v>
      </c>
      <c r="H50" s="142">
        <f>-RealRAV!H11</f>
        <v>40.328026116824624</v>
      </c>
      <c r="I50" s="142">
        <f>-RealRAV!I11</f>
        <v>42.148174717071214</v>
      </c>
      <c r="J50" s="142">
        <f>-RealRAV!J11</f>
        <v>43.83886379534322</v>
      </c>
      <c r="K50" s="142">
        <f>-RealRAV!K11</f>
        <v>45.571930487869906</v>
      </c>
      <c r="L50" s="142">
        <f>-RealRAV!L11</f>
        <v>47.315134412471494</v>
      </c>
    </row>
    <row r="51" spans="3:12" ht="15" thickBot="1">
      <c r="C51" s="144" t="s">
        <v>513</v>
      </c>
      <c r="D51" s="98"/>
      <c r="E51" s="98"/>
      <c r="F51" s="98"/>
      <c r="G51" s="142">
        <f aca="true" t="shared" si="9" ref="G51:L51">+G49+G50</f>
        <v>97.12311136653538</v>
      </c>
      <c r="H51" s="142">
        <f t="shared" si="9"/>
        <v>96.58102406005864</v>
      </c>
      <c r="I51" s="142">
        <f t="shared" si="9"/>
        <v>101.49806441259057</v>
      </c>
      <c r="J51" s="142">
        <f t="shared" si="9"/>
        <v>106.09877408106124</v>
      </c>
      <c r="K51" s="142">
        <f t="shared" si="9"/>
        <v>110.68016818095532</v>
      </c>
      <c r="L51" s="142">
        <f t="shared" si="9"/>
        <v>114.59349880896578</v>
      </c>
    </row>
    <row r="52" spans="3:12" ht="15" thickBot="1">
      <c r="C52" s="98" t="s">
        <v>328</v>
      </c>
      <c r="D52" s="98"/>
      <c r="E52" s="98"/>
      <c r="F52" s="98"/>
      <c r="G52" s="536"/>
      <c r="H52" s="537" t="str">
        <f>+IF(ABS(H45-H51)&lt;0.01,"ok!","oh no!")</f>
        <v>ok!</v>
      </c>
      <c r="I52" s="537" t="str">
        <f>+IF(ABS(I45-I51)&lt;0.01,"ok!","oh no!")</f>
        <v>ok!</v>
      </c>
      <c r="J52" s="537" t="str">
        <f>+IF(ABS(J45-J51)&lt;0.01,"ok!","oh no!")</f>
        <v>ok!</v>
      </c>
      <c r="K52" s="537" t="str">
        <f>+IF(ABS(K45-K51)&lt;0.01,"ok!","oh no!")</f>
        <v>ok!</v>
      </c>
      <c r="L52" s="537" t="str">
        <f>+IF(ABS(L45-L51)&lt;0.01,"ok!","oh no!")</f>
        <v>ok!</v>
      </c>
    </row>
    <row r="54" spans="7:12" ht="14.25">
      <c r="G54" s="539"/>
      <c r="H54" s="539"/>
      <c r="I54" s="539"/>
      <c r="J54" s="539"/>
      <c r="K54" s="539"/>
      <c r="L54" s="539"/>
    </row>
  </sheetData>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57" r:id="rId1"/>
  <headerFooter alignWithMargins="0">
    <oddHeader>&amp;L&amp;F&amp;R&amp;A</oddHeader>
    <oddFooter>&amp;L&amp;D&amp;T&amp;CPage &amp;P of &amp;N</oddFooter>
  </headerFooter>
</worksheet>
</file>

<file path=xl/worksheets/sheet9.xml><?xml version="1.0" encoding="utf-8"?>
<worksheet xmlns="http://schemas.openxmlformats.org/spreadsheetml/2006/main" xmlns:r="http://schemas.openxmlformats.org/officeDocument/2006/relationships">
  <sheetPr codeName="Sheet16">
    <tabColor indexed="10"/>
  </sheetPr>
  <dimension ref="B19:B19"/>
  <sheetViews>
    <sheetView workbookViewId="0" topLeftCell="IV25">
      <selection activeCell="H30" sqref="H30"/>
    </sheetView>
  </sheetViews>
  <sheetFormatPr defaultColWidth="9.00390625" defaultRowHeight="15"/>
  <cols>
    <col min="1" max="16384" width="0" style="0" hidden="1" customWidth="1"/>
  </cols>
  <sheetData>
    <row r="19" ht="15">
      <c r="B19" s="1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GDPCR 2008-13: Financial model spreadsheet - Updated Proposals</dc:title>
  <dc:subject/>
  <dc:creator>Gavin Knott</dc:creator>
  <cp:keywords/>
  <dc:description/>
  <cp:lastModifiedBy>Paul Newman</cp:lastModifiedBy>
  <cp:lastPrinted>2007-09-12T10:10:45Z</cp:lastPrinted>
  <dcterms:created xsi:type="dcterms:W3CDTF">2005-07-29T14:00:53Z</dcterms:created>
  <dcterms:modified xsi:type="dcterms:W3CDTF">2007-10-09T07:57:42Z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vt:lpwstr>- Subsidiary Document</vt:lpwstr>
  </property>
  <property fmtid="{D5CDD505-2E9C-101B-9397-08002B2CF9AE}" pid="3" name=":">
    <vt:lpwstr>2007/10/09 - GDPCR 2008-13: Financial model - Updated Proposals - 239/07</vt:lpwstr>
  </property>
  <property fmtid="{D5CDD505-2E9C-101B-9397-08002B2CF9AE}" pid="4" name="Overview">
    <vt:lpwstr/>
  </property>
  <property fmtid="{D5CDD505-2E9C-101B-9397-08002B2CF9AE}" pid="5" name="Publication Date:">
    <vt:lpwstr>2007-10-09T00:00:00Z</vt:lpwstr>
  </property>
  <property fmtid="{D5CDD505-2E9C-101B-9397-08002B2CF9AE}" pid="6" name="ContentType">
    <vt:lpwstr>Other</vt:lpwstr>
  </property>
  <property fmtid="{D5CDD505-2E9C-101B-9397-08002B2CF9AE}" pid="7" name="ContentTypeId">
    <vt:lpwstr>0x0101001B29A5457858BB40B9775B98A0F7A81700BDBCA1D494182F4A9F239DBF2C3B8D9D</vt:lpwstr>
  </property>
  <property fmtid="{D5CDD505-2E9C-101B-9397-08002B2CF9AE}" pid="8" name="Work Area">
    <vt:lpwstr>Gas Distribution</vt:lpwstr>
  </property>
  <property fmtid="{D5CDD505-2E9C-101B-9397-08002B2CF9AE}" pid="9" name="Ref No">
    <vt:lpwstr/>
  </property>
</Properties>
</file>